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NRP\2020 (e) (Roshan Digital Accounts)\Auto Loan (RDA)\Calculator\"/>
    </mc:Choice>
  </mc:AlternateContent>
  <workbookProtection workbookAlgorithmName="SHA-512" workbookHashValue="3LGwNI5IEgorUBEUFO9TCPcEpvyfBcC46J4wbkZ/7Xo7lR1VmoWIO+p7UBK+yT5GDXvs1Li9j+UiM9s9baaI6w==" workbookSaltValue="0AbFzCuvZJK2LQlKukIkvQ==" workbookSpinCount="100000" lockStructure="1"/>
  <bookViews>
    <workbookView xWindow="0" yWindow="0" windowWidth="20490" windowHeight="7620"/>
  </bookViews>
  <sheets>
    <sheet name="Loan Calculator" sheetId="2" r:id="rId1"/>
    <sheet name="Insurance &amp; Value Added Service" sheetId="4" r:id="rId2"/>
    <sheet name="Sheet2" sheetId="3" state="hidden" r:id="rId3"/>
    <sheet name="Sheet1" sheetId="1" state="hidden" r:id="rId4"/>
  </sheets>
  <definedNames>
    <definedName name="_xlnm.Print_Area" localSheetId="0">'Loan Calculator'!$B$2:$P$44</definedName>
    <definedName name="_xlnm.Print_Area" localSheetId="3">Sheet1!$B$1:$F$7</definedName>
  </definedNames>
  <calcPr calcId="162913"/>
</workbook>
</file>

<file path=xl/calcChain.xml><?xml version="1.0" encoding="utf-8"?>
<calcChain xmlns="http://schemas.openxmlformats.org/spreadsheetml/2006/main">
  <c r="E8" i="2" l="1"/>
  <c r="B40" i="2" l="1"/>
  <c r="B39" i="2"/>
  <c r="H39" i="2" s="1"/>
  <c r="B36" i="2"/>
  <c r="B37" i="2"/>
  <c r="B38" i="2"/>
  <c r="P1" i="2"/>
  <c r="Q1" i="2" s="1"/>
  <c r="O1" i="2"/>
  <c r="O2" i="2"/>
  <c r="L39" i="2" l="1"/>
  <c r="K39" i="2"/>
  <c r="L40" i="2"/>
  <c r="F40" i="2" s="1"/>
  <c r="K40" i="2"/>
  <c r="H40" i="2"/>
  <c r="J18" i="2"/>
  <c r="J17" i="2"/>
  <c r="K44" i="2"/>
  <c r="J19" i="2" l="1"/>
  <c r="I83" i="3" l="1"/>
  <c r="I82" i="3"/>
  <c r="I81" i="3"/>
  <c r="I80" i="3"/>
  <c r="I79" i="3"/>
  <c r="I78" i="3"/>
  <c r="I77" i="3"/>
  <c r="I76" i="3"/>
  <c r="I75" i="3"/>
  <c r="I74" i="3"/>
  <c r="I73" i="3"/>
  <c r="I72" i="3"/>
  <c r="I71" i="3"/>
  <c r="I70" i="3"/>
  <c r="E5" i="2" s="1"/>
  <c r="I69" i="3"/>
  <c r="I68" i="3"/>
  <c r="I67" i="3"/>
  <c r="I66" i="3"/>
  <c r="I65" i="3"/>
  <c r="I64" i="3"/>
  <c r="I63" i="3"/>
  <c r="I62" i="3"/>
  <c r="I61" i="3"/>
  <c r="I60" i="3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M31" i="2" l="1"/>
  <c r="F39" i="2"/>
  <c r="E12" i="2"/>
  <c r="J21" i="2"/>
  <c r="E10" i="2"/>
  <c r="J23" i="2" l="1"/>
  <c r="B34" i="2"/>
  <c r="K34" i="2" s="1"/>
  <c r="P2" i="2"/>
  <c r="Q2" i="2" s="1"/>
  <c r="L37" i="2"/>
  <c r="F37" i="2" s="1"/>
  <c r="M37" i="2" s="1"/>
  <c r="H36" i="2"/>
  <c r="B35" i="2"/>
  <c r="L35" i="2" s="1"/>
  <c r="J13" i="2"/>
  <c r="C3" i="1"/>
  <c r="C11" i="1"/>
  <c r="F3" i="1"/>
  <c r="H22" i="1"/>
  <c r="F4" i="1"/>
  <c r="H41" i="1"/>
  <c r="F5" i="1"/>
  <c r="H46" i="1"/>
  <c r="F6" i="1"/>
  <c r="H62" i="1"/>
  <c r="C15" i="1"/>
  <c r="F7" i="1"/>
  <c r="H70" i="1"/>
  <c r="C10" i="1"/>
  <c r="F2" i="1"/>
  <c r="H16" i="1"/>
  <c r="F1" i="1"/>
  <c r="B10" i="1"/>
  <c r="D10" i="1"/>
  <c r="E10" i="1"/>
  <c r="C21" i="1"/>
  <c r="C23" i="1"/>
  <c r="C41" i="1"/>
  <c r="C43" i="1"/>
  <c r="C45" i="1"/>
  <c r="C53" i="1"/>
  <c r="C66" i="1"/>
  <c r="C68" i="1"/>
  <c r="C74" i="1"/>
  <c r="C78" i="1"/>
  <c r="C88" i="1"/>
  <c r="H17" i="1"/>
  <c r="H18" i="1"/>
  <c r="H24" i="1"/>
  <c r="A11" i="1"/>
  <c r="A12" i="1"/>
  <c r="C93" i="1"/>
  <c r="I93" i="1"/>
  <c r="C81" i="1"/>
  <c r="I81" i="1"/>
  <c r="C77" i="1"/>
  <c r="C50" i="1"/>
  <c r="C42" i="1"/>
  <c r="C38" i="1"/>
  <c r="C91" i="1"/>
  <c r="I91" i="1"/>
  <c r="C79" i="1"/>
  <c r="C75" i="1"/>
  <c r="C67" i="1"/>
  <c r="C40" i="1"/>
  <c r="C36" i="1"/>
  <c r="C24" i="1"/>
  <c r="C16" i="1"/>
  <c r="C32" i="1"/>
  <c r="C71" i="1"/>
  <c r="C34" i="1"/>
  <c r="C54" i="1"/>
  <c r="C90" i="1"/>
  <c r="I90" i="1"/>
  <c r="C70" i="1"/>
  <c r="C49" i="1"/>
  <c r="C25" i="1"/>
  <c r="C17" i="1"/>
  <c r="I17" i="1"/>
  <c r="H32" i="1"/>
  <c r="I32" i="1"/>
  <c r="H25" i="1"/>
  <c r="H33" i="1"/>
  <c r="H80" i="1"/>
  <c r="C80" i="1"/>
  <c r="I80" i="1"/>
  <c r="H49" i="1"/>
  <c r="I49" i="1"/>
  <c r="H50" i="1"/>
  <c r="I50" i="1"/>
  <c r="H51" i="1"/>
  <c r="C12" i="1"/>
  <c r="C59" i="1"/>
  <c r="C22" i="1"/>
  <c r="I22" i="1"/>
  <c r="C73" i="1"/>
  <c r="H71" i="1"/>
  <c r="I71" i="1"/>
  <c r="C55" i="1"/>
  <c r="C31" i="1"/>
  <c r="C56" i="1"/>
  <c r="C18" i="1"/>
  <c r="C69" i="1"/>
  <c r="H72" i="1"/>
  <c r="H27" i="1"/>
  <c r="C84" i="1"/>
  <c r="I84" i="1"/>
  <c r="C62" i="1"/>
  <c r="C33" i="1"/>
  <c r="I41" i="1"/>
  <c r="C48" i="1"/>
  <c r="C14" i="1"/>
  <c r="C61" i="1"/>
  <c r="H73" i="1"/>
  <c r="H28" i="1"/>
  <c r="C86" i="1"/>
  <c r="I86" i="1"/>
  <c r="C64" i="1"/>
  <c r="C37" i="1"/>
  <c r="C6" i="1"/>
  <c r="C13" i="1"/>
  <c r="I24" i="1"/>
  <c r="H52" i="1"/>
  <c r="I18" i="1"/>
  <c r="H59" i="1"/>
  <c r="I59" i="1"/>
  <c r="H60" i="1"/>
  <c r="H63" i="1"/>
  <c r="F10" i="1"/>
  <c r="G10" i="1"/>
  <c r="C44" i="1"/>
  <c r="C87" i="1"/>
  <c r="I87" i="1"/>
  <c r="C46" i="1"/>
  <c r="I46" i="1"/>
  <c r="C85" i="1"/>
  <c r="I85" i="1"/>
  <c r="J10" i="1"/>
  <c r="K10" i="1"/>
  <c r="C72" i="1"/>
  <c r="I72" i="1"/>
  <c r="C51" i="1"/>
  <c r="C29" i="1"/>
  <c r="H38" i="1"/>
  <c r="I38" i="1"/>
  <c r="H19" i="1"/>
  <c r="H11" i="1"/>
  <c r="I11" i="1"/>
  <c r="H10" i="1"/>
  <c r="I10" i="1"/>
  <c r="C7" i="1"/>
  <c r="H65" i="1"/>
  <c r="J11" i="1"/>
  <c r="K11" i="1"/>
  <c r="H54" i="1"/>
  <c r="I54" i="1"/>
  <c r="H39" i="1"/>
  <c r="H14" i="1"/>
  <c r="H58" i="1"/>
  <c r="I62" i="1"/>
  <c r="L12" i="1"/>
  <c r="H34" i="1"/>
  <c r="I34" i="1"/>
  <c r="H20" i="1"/>
  <c r="H12" i="1"/>
  <c r="I12" i="1"/>
  <c r="H69" i="1"/>
  <c r="H53" i="1"/>
  <c r="I53" i="1"/>
  <c r="H36" i="1"/>
  <c r="I36" i="1"/>
  <c r="H21" i="1"/>
  <c r="I21" i="1"/>
  <c r="H13" i="1"/>
  <c r="H56" i="1"/>
  <c r="H40" i="1"/>
  <c r="I40" i="1"/>
  <c r="H15" i="1"/>
  <c r="I15" i="1"/>
  <c r="C28" i="1"/>
  <c r="I28" i="1"/>
  <c r="C63" i="1"/>
  <c r="I63" i="1"/>
  <c r="C30" i="1"/>
  <c r="C65" i="1"/>
  <c r="H57" i="1"/>
  <c r="H48" i="1"/>
  <c r="H26" i="1"/>
  <c r="C92" i="1"/>
  <c r="I92" i="1"/>
  <c r="C76" i="1"/>
  <c r="C60" i="1"/>
  <c r="C39" i="1"/>
  <c r="C19" i="1"/>
  <c r="I48" i="1"/>
  <c r="H77" i="1"/>
  <c r="I77" i="1"/>
  <c r="H76" i="1"/>
  <c r="H78" i="1"/>
  <c r="I78" i="1"/>
  <c r="H75" i="1"/>
  <c r="I75" i="1"/>
  <c r="H35" i="1"/>
  <c r="H44" i="1"/>
  <c r="H37" i="1"/>
  <c r="H43" i="1"/>
  <c r="H42" i="1"/>
  <c r="I42" i="1"/>
  <c r="J12" i="1"/>
  <c r="K12" i="1"/>
  <c r="A13" i="1"/>
  <c r="I43" i="1"/>
  <c r="I88" i="1"/>
  <c r="I73" i="1"/>
  <c r="H68" i="1"/>
  <c r="I68" i="1"/>
  <c r="H61" i="1"/>
  <c r="H67" i="1"/>
  <c r="I67" i="1"/>
  <c r="H64" i="1"/>
  <c r="I64" i="1"/>
  <c r="H66" i="1"/>
  <c r="I66" i="1"/>
  <c r="H45" i="1"/>
  <c r="I45" i="1"/>
  <c r="H74" i="1"/>
  <c r="I74" i="1"/>
  <c r="I33" i="1"/>
  <c r="H79" i="1"/>
  <c r="I79" i="1"/>
  <c r="H23" i="1"/>
  <c r="I23" i="1"/>
  <c r="H31" i="1"/>
  <c r="H30" i="1"/>
  <c r="H29" i="1"/>
  <c r="I29" i="1"/>
  <c r="I25" i="1"/>
  <c r="I16" i="1"/>
  <c r="B11" i="1"/>
  <c r="I70" i="1"/>
  <c r="C20" i="1"/>
  <c r="C52" i="1"/>
  <c r="C83" i="1"/>
  <c r="C26" i="1"/>
  <c r="C58" i="1"/>
  <c r="C89" i="1"/>
  <c r="H55" i="1"/>
  <c r="H47" i="1"/>
  <c r="C82" i="1"/>
  <c r="C57" i="1"/>
  <c r="C47" i="1"/>
  <c r="C35" i="1"/>
  <c r="C27" i="1"/>
  <c r="I60" i="1"/>
  <c r="I56" i="1"/>
  <c r="I69" i="1"/>
  <c r="I30" i="1"/>
  <c r="I37" i="1"/>
  <c r="I76" i="1"/>
  <c r="I51" i="1"/>
  <c r="I14" i="1"/>
  <c r="I13" i="1"/>
  <c r="I55" i="1"/>
  <c r="I31" i="1"/>
  <c r="I61" i="1"/>
  <c r="I19" i="1"/>
  <c r="I39" i="1"/>
  <c r="I65" i="1"/>
  <c r="I44" i="1"/>
  <c r="I26" i="1"/>
  <c r="I35" i="1"/>
  <c r="I27" i="1"/>
  <c r="I58" i="1"/>
  <c r="D11" i="1"/>
  <c r="I89" i="1"/>
  <c r="A14" i="1"/>
  <c r="J13" i="1"/>
  <c r="K13" i="1"/>
  <c r="I82" i="1"/>
  <c r="I20" i="1"/>
  <c r="I57" i="1"/>
  <c r="I52" i="1"/>
  <c r="I47" i="1"/>
  <c r="I83" i="1"/>
  <c r="J14" i="1"/>
  <c r="K14" i="1"/>
  <c r="A15" i="1"/>
  <c r="E11" i="1"/>
  <c r="F11" i="1"/>
  <c r="J15" i="1"/>
  <c r="K15" i="1"/>
  <c r="A16" i="1"/>
  <c r="G11" i="1"/>
  <c r="B12" i="1"/>
  <c r="J16" i="1"/>
  <c r="K16" i="1"/>
  <c r="A17" i="1"/>
  <c r="D12" i="1"/>
  <c r="A18" i="1"/>
  <c r="J17" i="1"/>
  <c r="K17" i="1"/>
  <c r="F12" i="1"/>
  <c r="E12" i="1"/>
  <c r="A19" i="1"/>
  <c r="J18" i="1"/>
  <c r="K18" i="1"/>
  <c r="G12" i="1"/>
  <c r="B13" i="1"/>
  <c r="J19" i="1"/>
  <c r="K19" i="1"/>
  <c r="A20" i="1"/>
  <c r="D13" i="1"/>
  <c r="A21" i="1"/>
  <c r="J20" i="1"/>
  <c r="K20" i="1"/>
  <c r="F13" i="1"/>
  <c r="E13" i="1"/>
  <c r="A22" i="1"/>
  <c r="J21" i="1"/>
  <c r="K21" i="1"/>
  <c r="G13" i="1"/>
  <c r="B14" i="1"/>
  <c r="J22" i="1"/>
  <c r="K22" i="1"/>
  <c r="A23" i="1"/>
  <c r="D14" i="1"/>
  <c r="A24" i="1"/>
  <c r="J23" i="1"/>
  <c r="K23" i="1"/>
  <c r="F14" i="1"/>
  <c r="E14" i="1"/>
  <c r="A25" i="1"/>
  <c r="J24" i="1"/>
  <c r="K24" i="1"/>
  <c r="G14" i="1"/>
  <c r="B15" i="1"/>
  <c r="J25" i="1"/>
  <c r="K25" i="1"/>
  <c r="A26" i="1"/>
  <c r="D15" i="1"/>
  <c r="J26" i="1"/>
  <c r="K26" i="1"/>
  <c r="A27" i="1"/>
  <c r="F15" i="1"/>
  <c r="E15" i="1"/>
  <c r="G15" i="1"/>
  <c r="B16" i="1"/>
  <c r="A28" i="1"/>
  <c r="J27" i="1"/>
  <c r="K27" i="1"/>
  <c r="A29" i="1"/>
  <c r="J28" i="1"/>
  <c r="K28" i="1"/>
  <c r="D16" i="1"/>
  <c r="A30" i="1"/>
  <c r="J29" i="1"/>
  <c r="K29" i="1"/>
  <c r="F16" i="1"/>
  <c r="E16" i="1"/>
  <c r="J30" i="1"/>
  <c r="K30" i="1"/>
  <c r="A31" i="1"/>
  <c r="B17" i="1"/>
  <c r="G16" i="1"/>
  <c r="J31" i="1"/>
  <c r="K31" i="1"/>
  <c r="A32" i="1"/>
  <c r="D17" i="1"/>
  <c r="A33" i="1"/>
  <c r="J32" i="1"/>
  <c r="K32" i="1"/>
  <c r="F17" i="1"/>
  <c r="E17" i="1"/>
  <c r="J33" i="1"/>
  <c r="K33" i="1"/>
  <c r="A34" i="1"/>
  <c r="G17" i="1"/>
  <c r="B18" i="1"/>
  <c r="A35" i="1"/>
  <c r="J34" i="1"/>
  <c r="K34" i="1"/>
  <c r="D18" i="1"/>
  <c r="A36" i="1"/>
  <c r="J35" i="1"/>
  <c r="K35" i="1"/>
  <c r="F18" i="1"/>
  <c r="E18" i="1"/>
  <c r="A37" i="1"/>
  <c r="J36" i="1"/>
  <c r="K36" i="1"/>
  <c r="G18" i="1"/>
  <c r="B19" i="1"/>
  <c r="J37" i="1"/>
  <c r="K37" i="1"/>
  <c r="A38" i="1"/>
  <c r="D19" i="1"/>
  <c r="J38" i="1"/>
  <c r="K38" i="1"/>
  <c r="A39" i="1"/>
  <c r="F19" i="1"/>
  <c r="E19" i="1"/>
  <c r="A40" i="1"/>
  <c r="J39" i="1"/>
  <c r="K39" i="1"/>
  <c r="G19" i="1"/>
  <c r="B20" i="1"/>
  <c r="J40" i="1"/>
  <c r="K40" i="1"/>
  <c r="A41" i="1"/>
  <c r="D20" i="1"/>
  <c r="A42" i="1"/>
  <c r="J41" i="1"/>
  <c r="K41" i="1"/>
  <c r="F20" i="1"/>
  <c r="E20" i="1"/>
  <c r="A43" i="1"/>
  <c r="J42" i="1"/>
  <c r="K42" i="1"/>
  <c r="G20" i="1"/>
  <c r="B21" i="1"/>
  <c r="A44" i="1"/>
  <c r="J43" i="1"/>
  <c r="K43" i="1"/>
  <c r="D21" i="1"/>
  <c r="J44" i="1"/>
  <c r="K44" i="1"/>
  <c r="A45" i="1"/>
  <c r="F21" i="1"/>
  <c r="E21" i="1"/>
  <c r="J45" i="1"/>
  <c r="K45" i="1"/>
  <c r="A46" i="1"/>
  <c r="G21" i="1"/>
  <c r="B22" i="1"/>
  <c r="A47" i="1"/>
  <c r="J46" i="1"/>
  <c r="K46" i="1"/>
  <c r="D22" i="1"/>
  <c r="A48" i="1"/>
  <c r="J47" i="1"/>
  <c r="K47" i="1"/>
  <c r="F22" i="1"/>
  <c r="E22" i="1"/>
  <c r="J48" i="1"/>
  <c r="K48" i="1"/>
  <c r="A49" i="1"/>
  <c r="G22" i="1"/>
  <c r="B23" i="1"/>
  <c r="J49" i="1"/>
  <c r="K49" i="1"/>
  <c r="A50" i="1"/>
  <c r="D23" i="1"/>
  <c r="J50" i="1"/>
  <c r="K50" i="1"/>
  <c r="A51" i="1"/>
  <c r="F23" i="1"/>
  <c r="E23" i="1"/>
  <c r="A52" i="1"/>
  <c r="J51" i="1"/>
  <c r="K51" i="1"/>
  <c r="G23" i="1"/>
  <c r="B24" i="1"/>
  <c r="J52" i="1"/>
  <c r="K52" i="1"/>
  <c r="A53" i="1"/>
  <c r="D24" i="1"/>
  <c r="A54" i="1"/>
  <c r="J53" i="1"/>
  <c r="K53" i="1"/>
  <c r="F24" i="1"/>
  <c r="E24" i="1"/>
  <c r="J54" i="1"/>
  <c r="K54" i="1"/>
  <c r="A55" i="1"/>
  <c r="G24" i="1"/>
  <c r="B25" i="1"/>
  <c r="J55" i="1"/>
  <c r="K55" i="1"/>
  <c r="A56" i="1"/>
  <c r="D25" i="1"/>
  <c r="J56" i="1"/>
  <c r="K56" i="1"/>
  <c r="A57" i="1"/>
  <c r="F25" i="1"/>
  <c r="E25" i="1"/>
  <c r="A58" i="1"/>
  <c r="J57" i="1"/>
  <c r="K57" i="1"/>
  <c r="B26" i="1"/>
  <c r="G25" i="1"/>
  <c r="A59" i="1"/>
  <c r="J58" i="1"/>
  <c r="K58" i="1"/>
  <c r="D26" i="1"/>
  <c r="A60" i="1"/>
  <c r="J59" i="1"/>
  <c r="K59" i="1"/>
  <c r="F26" i="1"/>
  <c r="E26" i="1"/>
  <c r="J60" i="1"/>
  <c r="K60" i="1"/>
  <c r="A61" i="1"/>
  <c r="G26" i="1"/>
  <c r="B27" i="1"/>
  <c r="J61" i="1"/>
  <c r="K61" i="1"/>
  <c r="A62" i="1"/>
  <c r="D27" i="1"/>
  <c r="J62" i="1"/>
  <c r="K62" i="1"/>
  <c r="A63" i="1"/>
  <c r="F27" i="1"/>
  <c r="E27" i="1"/>
  <c r="J63" i="1"/>
  <c r="K63" i="1"/>
  <c r="A64" i="1"/>
  <c r="G27" i="1"/>
  <c r="B28" i="1"/>
  <c r="A65" i="1"/>
  <c r="J64" i="1"/>
  <c r="K64" i="1"/>
  <c r="D28" i="1"/>
  <c r="A66" i="1"/>
  <c r="J65" i="1"/>
  <c r="K65" i="1"/>
  <c r="F28" i="1"/>
  <c r="E28" i="1"/>
  <c r="J66" i="1"/>
  <c r="K66" i="1"/>
  <c r="A67" i="1"/>
  <c r="G28" i="1"/>
  <c r="B29" i="1"/>
  <c r="J67" i="1"/>
  <c r="K67" i="1"/>
  <c r="A68" i="1"/>
  <c r="D29" i="1"/>
  <c r="J68" i="1"/>
  <c r="K68" i="1"/>
  <c r="A69" i="1"/>
  <c r="F29" i="1"/>
  <c r="E29" i="1"/>
  <c r="J69" i="1"/>
  <c r="K69" i="1"/>
  <c r="A70" i="1"/>
  <c r="G29" i="1"/>
  <c r="B30" i="1"/>
  <c r="A71" i="1"/>
  <c r="J70" i="1"/>
  <c r="K70" i="1"/>
  <c r="D30" i="1"/>
  <c r="A72" i="1"/>
  <c r="J71" i="1"/>
  <c r="K71" i="1"/>
  <c r="F30" i="1"/>
  <c r="E30" i="1"/>
  <c r="A73" i="1"/>
  <c r="J72" i="1"/>
  <c r="K72" i="1"/>
  <c r="G30" i="1"/>
  <c r="B31" i="1"/>
  <c r="J73" i="1"/>
  <c r="K73" i="1"/>
  <c r="A74" i="1"/>
  <c r="D31" i="1"/>
  <c r="J74" i="1"/>
  <c r="K74" i="1"/>
  <c r="A75" i="1"/>
  <c r="F31" i="1"/>
  <c r="E31" i="1"/>
  <c r="J75" i="1"/>
  <c r="K75" i="1"/>
  <c r="A76" i="1"/>
  <c r="G31" i="1"/>
  <c r="B32" i="1"/>
  <c r="J76" i="1"/>
  <c r="K76" i="1"/>
  <c r="A77" i="1"/>
  <c r="D32" i="1"/>
  <c r="A78" i="1"/>
  <c r="J77" i="1"/>
  <c r="K77" i="1"/>
  <c r="F32" i="1"/>
  <c r="E32" i="1"/>
  <c r="A79" i="1"/>
  <c r="J78" i="1"/>
  <c r="K78" i="1"/>
  <c r="G32" i="1"/>
  <c r="B33" i="1"/>
  <c r="J79" i="1"/>
  <c r="K79" i="1"/>
  <c r="A80" i="1"/>
  <c r="D33" i="1"/>
  <c r="J80" i="1"/>
  <c r="K80" i="1"/>
  <c r="A81" i="1"/>
  <c r="F33" i="1"/>
  <c r="E33" i="1"/>
  <c r="A82" i="1"/>
  <c r="J81" i="1"/>
  <c r="K81" i="1"/>
  <c r="G33" i="1"/>
  <c r="B34" i="1"/>
  <c r="A83" i="1"/>
  <c r="J82" i="1"/>
  <c r="K82" i="1"/>
  <c r="D34" i="1"/>
  <c r="J83" i="1"/>
  <c r="K83" i="1"/>
  <c r="A84" i="1"/>
  <c r="F34" i="1"/>
  <c r="E34" i="1"/>
  <c r="J84" i="1"/>
  <c r="K84" i="1"/>
  <c r="A85" i="1"/>
  <c r="G34" i="1"/>
  <c r="B35" i="1"/>
  <c r="J85" i="1"/>
  <c r="K85" i="1"/>
  <c r="A86" i="1"/>
  <c r="D35" i="1"/>
  <c r="J86" i="1"/>
  <c r="K86" i="1"/>
  <c r="A87" i="1"/>
  <c r="F35" i="1"/>
  <c r="E35" i="1"/>
  <c r="A88" i="1"/>
  <c r="J87" i="1"/>
  <c r="K87" i="1"/>
  <c r="G35" i="1"/>
  <c r="B36" i="1"/>
  <c r="J88" i="1"/>
  <c r="K88" i="1"/>
  <c r="A89" i="1"/>
  <c r="D36" i="1"/>
  <c r="J89" i="1"/>
  <c r="K89" i="1"/>
  <c r="A90" i="1"/>
  <c r="F36" i="1"/>
  <c r="E36" i="1"/>
  <c r="A91" i="1"/>
  <c r="J90" i="1"/>
  <c r="K90" i="1"/>
  <c r="G36" i="1"/>
  <c r="B37" i="1"/>
  <c r="J91" i="1"/>
  <c r="K91" i="1"/>
  <c r="A92" i="1"/>
  <c r="D37" i="1"/>
  <c r="A93" i="1"/>
  <c r="J93" i="1"/>
  <c r="K93" i="1"/>
  <c r="J92" i="1"/>
  <c r="K92" i="1"/>
  <c r="F37" i="1"/>
  <c r="E37" i="1"/>
  <c r="G37" i="1"/>
  <c r="B38" i="1"/>
  <c r="D38" i="1"/>
  <c r="F38" i="1"/>
  <c r="E38" i="1"/>
  <c r="G38" i="1"/>
  <c r="B39" i="1"/>
  <c r="D39" i="1"/>
  <c r="F39" i="1"/>
  <c r="E39" i="1"/>
  <c r="G39" i="1"/>
  <c r="B40" i="1"/>
  <c r="D40" i="1"/>
  <c r="F40" i="1"/>
  <c r="E40" i="1"/>
  <c r="G40" i="1"/>
  <c r="B41" i="1"/>
  <c r="D41" i="1"/>
  <c r="F41" i="1"/>
  <c r="E41" i="1"/>
  <c r="G41" i="1"/>
  <c r="B42" i="1"/>
  <c r="D42" i="1"/>
  <c r="F42" i="1"/>
  <c r="E42" i="1"/>
  <c r="G42" i="1"/>
  <c r="B43" i="1"/>
  <c r="D43" i="1"/>
  <c r="F43" i="1"/>
  <c r="E43" i="1"/>
  <c r="G43" i="1"/>
  <c r="B44" i="1"/>
  <c r="D44" i="1"/>
  <c r="F44" i="1"/>
  <c r="E44" i="1"/>
  <c r="G44" i="1"/>
  <c r="B45" i="1"/>
  <c r="D45" i="1"/>
  <c r="F45" i="1"/>
  <c r="E45" i="1"/>
  <c r="G45" i="1"/>
  <c r="B46" i="1"/>
  <c r="D46" i="1"/>
  <c r="F46" i="1"/>
  <c r="E46" i="1"/>
  <c r="G46" i="1"/>
  <c r="B47" i="1"/>
  <c r="D47" i="1"/>
  <c r="F47" i="1"/>
  <c r="E47" i="1"/>
  <c r="G47" i="1"/>
  <c r="B48" i="1"/>
  <c r="D48" i="1"/>
  <c r="F48" i="1"/>
  <c r="E48" i="1"/>
  <c r="B49" i="1"/>
  <c r="G48" i="1"/>
  <c r="D49" i="1"/>
  <c r="F49" i="1"/>
  <c r="E49" i="1"/>
  <c r="G49" i="1"/>
  <c r="B50" i="1"/>
  <c r="D50" i="1"/>
  <c r="F50" i="1"/>
  <c r="E50" i="1"/>
  <c r="G50" i="1"/>
  <c r="B51" i="1"/>
  <c r="D51" i="1"/>
  <c r="F51" i="1"/>
  <c r="E51" i="1"/>
  <c r="G51" i="1"/>
  <c r="B52" i="1"/>
  <c r="D52" i="1"/>
  <c r="F52" i="1"/>
  <c r="E52" i="1"/>
  <c r="G52" i="1"/>
  <c r="B53" i="1"/>
  <c r="D53" i="1"/>
  <c r="F53" i="1"/>
  <c r="E53" i="1"/>
  <c r="G53" i="1"/>
  <c r="B54" i="1"/>
  <c r="D54" i="1"/>
  <c r="F54" i="1"/>
  <c r="E54" i="1"/>
  <c r="G54" i="1"/>
  <c r="B55" i="1"/>
  <c r="D55" i="1"/>
  <c r="F55" i="1"/>
  <c r="E55" i="1"/>
  <c r="G55" i="1"/>
  <c r="B56" i="1"/>
  <c r="D56" i="1"/>
  <c r="F56" i="1"/>
  <c r="E56" i="1"/>
  <c r="G56" i="1"/>
  <c r="B57" i="1"/>
  <c r="D57" i="1"/>
  <c r="F57" i="1"/>
  <c r="E57" i="1"/>
  <c r="G57" i="1"/>
  <c r="B58" i="1"/>
  <c r="D58" i="1"/>
  <c r="F58" i="1"/>
  <c r="E58" i="1"/>
  <c r="G58" i="1"/>
  <c r="B59" i="1"/>
  <c r="D59" i="1"/>
  <c r="F59" i="1"/>
  <c r="E59" i="1"/>
  <c r="G59" i="1"/>
  <c r="B60" i="1"/>
  <c r="D60" i="1"/>
  <c r="F60" i="1"/>
  <c r="E60" i="1"/>
  <c r="G60" i="1"/>
  <c r="B61" i="1"/>
  <c r="D61" i="1"/>
  <c r="F61" i="1"/>
  <c r="E61" i="1"/>
  <c r="G61" i="1"/>
  <c r="B62" i="1"/>
  <c r="D62" i="1"/>
  <c r="F62" i="1"/>
  <c r="E62" i="1"/>
  <c r="G62" i="1"/>
  <c r="B63" i="1"/>
  <c r="D63" i="1"/>
  <c r="F63" i="1"/>
  <c r="E63" i="1"/>
  <c r="G63" i="1"/>
  <c r="B64" i="1"/>
  <c r="D64" i="1"/>
  <c r="F64" i="1"/>
  <c r="E64" i="1"/>
  <c r="G64" i="1"/>
  <c r="B65" i="1"/>
  <c r="D65" i="1"/>
  <c r="F65" i="1"/>
  <c r="E65" i="1"/>
  <c r="G65" i="1"/>
  <c r="B66" i="1"/>
  <c r="D66" i="1"/>
  <c r="F66" i="1"/>
  <c r="E66" i="1"/>
  <c r="G66" i="1"/>
  <c r="B67" i="1"/>
  <c r="D67" i="1"/>
  <c r="F67" i="1"/>
  <c r="E67" i="1"/>
  <c r="G67" i="1"/>
  <c r="B68" i="1"/>
  <c r="D68" i="1"/>
  <c r="F68" i="1"/>
  <c r="E68" i="1"/>
  <c r="G68" i="1"/>
  <c r="B69" i="1"/>
  <c r="D69" i="1"/>
  <c r="F69" i="1"/>
  <c r="E69" i="1"/>
  <c r="G69" i="1"/>
  <c r="B70" i="1"/>
  <c r="D70" i="1"/>
  <c r="F70" i="1"/>
  <c r="E70" i="1"/>
  <c r="G70" i="1"/>
  <c r="B71" i="1"/>
  <c r="D71" i="1"/>
  <c r="F71" i="1"/>
  <c r="E71" i="1"/>
  <c r="G71" i="1"/>
  <c r="B72" i="1"/>
  <c r="D72" i="1"/>
  <c r="F72" i="1"/>
  <c r="E72" i="1"/>
  <c r="G72" i="1"/>
  <c r="B73" i="1"/>
  <c r="D73" i="1"/>
  <c r="F73" i="1"/>
  <c r="E73" i="1"/>
  <c r="G73" i="1"/>
  <c r="B74" i="1"/>
  <c r="D74" i="1"/>
  <c r="F74" i="1"/>
  <c r="E74" i="1"/>
  <c r="G74" i="1"/>
  <c r="B75" i="1"/>
  <c r="D75" i="1"/>
  <c r="F75" i="1"/>
  <c r="E75" i="1"/>
  <c r="G75" i="1"/>
  <c r="B76" i="1"/>
  <c r="D76" i="1"/>
  <c r="F76" i="1"/>
  <c r="E76" i="1"/>
  <c r="G76" i="1"/>
  <c r="B77" i="1"/>
  <c r="D77" i="1"/>
  <c r="F77" i="1"/>
  <c r="E77" i="1"/>
  <c r="G77" i="1"/>
  <c r="B78" i="1"/>
  <c r="D78" i="1"/>
  <c r="F78" i="1"/>
  <c r="E78" i="1"/>
  <c r="G78" i="1"/>
  <c r="B79" i="1"/>
  <c r="D79" i="1"/>
  <c r="F79" i="1"/>
  <c r="E79" i="1"/>
  <c r="G79" i="1"/>
  <c r="B80" i="1"/>
  <c r="D80" i="1"/>
  <c r="F80" i="1"/>
  <c r="E80" i="1"/>
  <c r="G80" i="1"/>
  <c r="B81" i="1"/>
  <c r="D81" i="1"/>
  <c r="F81" i="1"/>
  <c r="E81" i="1"/>
  <c r="G81" i="1"/>
  <c r="B82" i="1"/>
  <c r="D82" i="1"/>
  <c r="F82" i="1"/>
  <c r="E82" i="1"/>
  <c r="G82" i="1"/>
  <c r="B83" i="1"/>
  <c r="D83" i="1"/>
  <c r="F83" i="1"/>
  <c r="E83" i="1"/>
  <c r="G83" i="1"/>
  <c r="B84" i="1"/>
  <c r="D84" i="1"/>
  <c r="F84" i="1"/>
  <c r="E84" i="1"/>
  <c r="G84" i="1"/>
  <c r="B85" i="1"/>
  <c r="D85" i="1"/>
  <c r="F85" i="1"/>
  <c r="E85" i="1"/>
  <c r="G85" i="1"/>
  <c r="B86" i="1"/>
  <c r="D86" i="1"/>
  <c r="F86" i="1"/>
  <c r="E86" i="1"/>
  <c r="G86" i="1"/>
  <c r="B87" i="1"/>
  <c r="D87" i="1"/>
  <c r="F87" i="1"/>
  <c r="E87" i="1"/>
  <c r="G87" i="1"/>
  <c r="B88" i="1"/>
  <c r="D88" i="1"/>
  <c r="F88" i="1"/>
  <c r="E88" i="1"/>
  <c r="G88" i="1"/>
  <c r="B89" i="1"/>
  <c r="D89" i="1"/>
  <c r="F89" i="1"/>
  <c r="E89" i="1"/>
  <c r="G89" i="1"/>
  <c r="B90" i="1"/>
  <c r="D90" i="1"/>
  <c r="F90" i="1"/>
  <c r="E90" i="1"/>
  <c r="G90" i="1"/>
  <c r="B91" i="1"/>
  <c r="D91" i="1"/>
  <c r="F91" i="1"/>
  <c r="E91" i="1"/>
  <c r="G91" i="1"/>
  <c r="B92" i="1"/>
  <c r="D92" i="1"/>
  <c r="F92" i="1"/>
  <c r="E92" i="1"/>
  <c r="G92" i="1"/>
  <c r="B93" i="1"/>
  <c r="D93" i="1"/>
  <c r="F93" i="1"/>
  <c r="G93" i="1"/>
  <c r="E93" i="1"/>
  <c r="J22" i="2" l="1"/>
  <c r="J26" i="2" s="1"/>
  <c r="J27" i="2" s="1"/>
  <c r="Q26" i="2" s="1"/>
  <c r="H34" i="2"/>
  <c r="H38" i="2"/>
  <c r="L38" i="2"/>
  <c r="F38" i="2" s="1"/>
  <c r="M38" i="2" s="1"/>
  <c r="H37" i="2"/>
  <c r="K38" i="2"/>
  <c r="K37" i="2"/>
  <c r="L34" i="2"/>
  <c r="F34" i="2" s="1"/>
  <c r="L36" i="2"/>
  <c r="F36" i="2" s="1"/>
  <c r="M36" i="2" s="1"/>
  <c r="K36" i="2"/>
  <c r="K35" i="2"/>
  <c r="F35" i="2"/>
  <c r="M35" i="2" s="1"/>
  <c r="H35" i="2"/>
  <c r="J30" i="2" l="1"/>
  <c r="J24" i="2"/>
  <c r="D39" i="2" l="1"/>
  <c r="I39" i="2" s="1"/>
  <c r="D40" i="2"/>
  <c r="I40" i="2" s="1"/>
  <c r="D38" i="2"/>
  <c r="I38" i="2" s="1"/>
  <c r="D37" i="2"/>
  <c r="I37" i="2" s="1"/>
  <c r="D34" i="2"/>
  <c r="I34" i="2" s="1"/>
  <c r="D35" i="2"/>
  <c r="I35" i="2" s="1"/>
  <c r="D36" i="2"/>
  <c r="I36" i="2" s="1"/>
</calcChain>
</file>

<file path=xl/sharedStrings.xml><?xml version="1.0" encoding="utf-8"?>
<sst xmlns="http://schemas.openxmlformats.org/spreadsheetml/2006/main" count="445" uniqueCount="283">
  <si>
    <t>TMP</t>
  </si>
  <si>
    <t>Principle</t>
  </si>
  <si>
    <t>Interest</t>
  </si>
  <si>
    <t>Commulative interest</t>
  </si>
  <si>
    <t>Ammortization</t>
  </si>
  <si>
    <t>Month</t>
  </si>
  <si>
    <t>Insurance</t>
  </si>
  <si>
    <t>EMI</t>
  </si>
  <si>
    <t>Total cost</t>
  </si>
  <si>
    <t>Equity</t>
  </si>
  <si>
    <t>Finacing amount</t>
  </si>
  <si>
    <t>Rate</t>
  </si>
  <si>
    <t>Tenure</t>
  </si>
  <si>
    <t>Downpayment</t>
  </si>
  <si>
    <t>Upfront insurance premium</t>
  </si>
  <si>
    <t>3rd yr</t>
  </si>
  <si>
    <t xml:space="preserve">2nd yr </t>
  </si>
  <si>
    <t>4th yr</t>
  </si>
  <si>
    <t>5th yr</t>
  </si>
  <si>
    <t>6th yr</t>
  </si>
  <si>
    <t>7th yr</t>
  </si>
  <si>
    <t>TCO</t>
  </si>
  <si>
    <t>Insurance Rate</t>
  </si>
  <si>
    <t>NAME OF CLIENT :</t>
  </si>
  <si>
    <t>MAKE :</t>
  </si>
  <si>
    <t xml:space="preserve">MODEL : </t>
  </si>
  <si>
    <t>CASE AMOUNT[Car price + 1st yr Ins]</t>
  </si>
  <si>
    <t>-</t>
  </si>
  <si>
    <t>EMI :</t>
  </si>
  <si>
    <t>INS INSTALLMENT :</t>
  </si>
  <si>
    <t>----&gt;</t>
  </si>
  <si>
    <t>Interest Rate</t>
  </si>
  <si>
    <t>TENURE (in Years):</t>
  </si>
  <si>
    <t>CUSTOMER SIGNATURE:______________________________________________</t>
  </si>
  <si>
    <t xml:space="preserve">Year </t>
  </si>
  <si>
    <t>FINANCING %:</t>
  </si>
  <si>
    <t>EQUITY ( % ):</t>
  </si>
  <si>
    <t>Muhammad Yousaf</t>
  </si>
  <si>
    <t>TPL Insurance Ltd</t>
  </si>
  <si>
    <t>CAR TYPE:</t>
  </si>
  <si>
    <t>Used</t>
  </si>
  <si>
    <t>New</t>
  </si>
  <si>
    <t xml:space="preserve"> </t>
  </si>
  <si>
    <t>Sr No</t>
  </si>
  <si>
    <t>Manufacturer</t>
  </si>
  <si>
    <t>Model</t>
  </si>
  <si>
    <t>Make Model</t>
  </si>
  <si>
    <t xml:space="preserve">Vehicle Price </t>
  </si>
  <si>
    <t>Allowable Financing Tenure - New / Unregistered Imported</t>
  </si>
  <si>
    <t>Allowable Financing Tenure - Used</t>
  </si>
  <si>
    <t>Al HAJ FAW MOTORS PRIVATE LIMITED</t>
  </si>
  <si>
    <t>Carrier</t>
  </si>
  <si>
    <t>FAW - Carrier</t>
  </si>
  <si>
    <t>Not Allowed</t>
  </si>
  <si>
    <t>X-PV</t>
  </si>
  <si>
    <t>FAW - X-PV</t>
  </si>
  <si>
    <t>V2</t>
  </si>
  <si>
    <t>FAW - V2</t>
  </si>
  <si>
    <t>HONDA ATLAS CARS PAKISTAN LIMITED</t>
  </si>
  <si>
    <t>ACCORD</t>
  </si>
  <si>
    <t>HONDA - ACCORD 1.5</t>
  </si>
  <si>
    <t>CITY</t>
  </si>
  <si>
    <t>HONDA - CITY M/T 1.3</t>
  </si>
  <si>
    <t>HONDA - CITY P/T 1.3</t>
  </si>
  <si>
    <t>HONDA - CITY M/T 1.5</t>
  </si>
  <si>
    <t>HONDA - CITY P/T 1.5</t>
  </si>
  <si>
    <t>HONDA - CITY M/T Aspire 1.5</t>
  </si>
  <si>
    <t>HONDA - CITY P/T Aspire 1.5</t>
  </si>
  <si>
    <t>CIVIC</t>
  </si>
  <si>
    <t>HONDA - CIVIC 1.5</t>
  </si>
  <si>
    <t>HONDA - CIVIC 1.8</t>
  </si>
  <si>
    <t>HONDA - CIVIC 1.8 (Oriel)</t>
  </si>
  <si>
    <t>CR-V</t>
  </si>
  <si>
    <t>HONDA - CR-V P/T 2.0</t>
  </si>
  <si>
    <t>BR-V</t>
  </si>
  <si>
    <t>HONDA - BR-V CVT</t>
  </si>
  <si>
    <t>HR-V</t>
  </si>
  <si>
    <t>HONDA - HR-V 1.5</t>
  </si>
  <si>
    <t>PAK SUZUKI MOTORS COMPANY LIMITED</t>
  </si>
  <si>
    <t>ALTO</t>
  </si>
  <si>
    <t>SUZUKI - ALTO VXL AGS</t>
  </si>
  <si>
    <t>SUZUKI - ALTO VXR</t>
  </si>
  <si>
    <t>SUZUKI - ALTO VXL</t>
  </si>
  <si>
    <t>APV</t>
  </si>
  <si>
    <t>SUZUKI - APV</t>
  </si>
  <si>
    <t>BOLAN</t>
  </si>
  <si>
    <t>SUZUKI - BOLAN</t>
  </si>
  <si>
    <t>CULTUS</t>
  </si>
  <si>
    <t>SUZUKI - CULTUS VXR</t>
  </si>
  <si>
    <t>SUZUKI - CULTUS VXL</t>
  </si>
  <si>
    <t>RAVI P.UP</t>
  </si>
  <si>
    <t>SUZUKI - RAVI P.UP</t>
  </si>
  <si>
    <t>SWIFT</t>
  </si>
  <si>
    <t>SUZUKI - SWIFT DLX</t>
  </si>
  <si>
    <t>SUZUKI - SWIFT A/T</t>
  </si>
  <si>
    <t>VITARA</t>
  </si>
  <si>
    <t>SUZUKI - VITARA GLX</t>
  </si>
  <si>
    <t>Wagon-R</t>
  </si>
  <si>
    <t>SUZUKI - Wagon-R VXR</t>
  </si>
  <si>
    <t>SUZUKI - Wagon-R VXL</t>
  </si>
  <si>
    <t>CIAZ</t>
  </si>
  <si>
    <t>SUZUKI - Ciaz M/T</t>
  </si>
  <si>
    <t>SUZUKI - Ciaz A/T</t>
  </si>
  <si>
    <t>INDUS MOTORS COMPANY LIMITED</t>
  </si>
  <si>
    <t>COROLLA ALTIS</t>
  </si>
  <si>
    <t>TOYOTA  - COROLLA ALTIS</t>
  </si>
  <si>
    <t>TOYOTA  - COROLLA ALTIS GRANDE</t>
  </si>
  <si>
    <t>FORTUNER</t>
  </si>
  <si>
    <t>TOYOTA  - FORTUNER</t>
  </si>
  <si>
    <t>MASTER MOTORS LIMITED</t>
  </si>
  <si>
    <t>Changan - M9</t>
  </si>
  <si>
    <t>Changan - Karvaan</t>
  </si>
  <si>
    <t>HILUX</t>
  </si>
  <si>
    <t>TOYOTA  - HILUX Revo E M/T</t>
  </si>
  <si>
    <t>TOYOTA  - HILUX Revo G M/T</t>
  </si>
  <si>
    <t>TOYOTA  - HILUX Revo G A/T</t>
  </si>
  <si>
    <t>TOYOTA  - HILUX Revo V A/T</t>
  </si>
  <si>
    <t>KIA LUCKY MOTORS PAKISTAN LIMITED</t>
  </si>
  <si>
    <t xml:space="preserve">Sportage FWD </t>
  </si>
  <si>
    <t>KIA - Sportage FWD</t>
  </si>
  <si>
    <t xml:space="preserve">Sportage AWD </t>
  </si>
  <si>
    <t>KIA - Sportage AWD</t>
  </si>
  <si>
    <t>Picanto M/T</t>
  </si>
  <si>
    <t>KIA Picanto M/T</t>
  </si>
  <si>
    <t>Picanto A/T</t>
  </si>
  <si>
    <t>KIA Picanto A/T</t>
  </si>
  <si>
    <t>TOYOTA  - FORTUNER DIESEL</t>
  </si>
  <si>
    <t>SUZUKI - CULTUS AGS</t>
  </si>
  <si>
    <t>FORTUNER G</t>
  </si>
  <si>
    <t>TOYOTA  - FORTUNER G</t>
  </si>
  <si>
    <t>HYUNDAI NISHAT MOTOR (Private) LIMITED</t>
  </si>
  <si>
    <t>Porter H-100</t>
  </si>
  <si>
    <t>Hyundai Porter H-100 High Deck</t>
  </si>
  <si>
    <t>Hyundai Porter H-100 Flat Deck</t>
  </si>
  <si>
    <t>Hyundai Porter H-100 Deckless</t>
  </si>
  <si>
    <t>SUZUKI - Wagon-R AGS</t>
  </si>
  <si>
    <t>Grand Carnival EX</t>
  </si>
  <si>
    <r>
      <t xml:space="preserve">KIA - Grand Carnival EX </t>
    </r>
    <r>
      <rPr>
        <sz val="10"/>
        <color rgb="FFFF0000"/>
        <rFont val="Calibri"/>
        <family val="2"/>
      </rPr>
      <t>(GLS)</t>
    </r>
  </si>
  <si>
    <t>Grand Carnival LX</t>
  </si>
  <si>
    <r>
      <t xml:space="preserve">KIA - Grand Carnival LX </t>
    </r>
    <r>
      <rPr>
        <sz val="10"/>
        <color rgb="FFFF0000"/>
        <rFont val="Calibri"/>
        <family val="2"/>
      </rPr>
      <t>(GLS+)</t>
    </r>
  </si>
  <si>
    <t>YARIS GLI M/T</t>
  </si>
  <si>
    <t>TOYOTA - YARIS GLI M/T</t>
  </si>
  <si>
    <t>YARIS GLI CVT</t>
  </si>
  <si>
    <t>TOYOTA - YARIS GLI CVT</t>
  </si>
  <si>
    <t>YARIS ATIV M/T</t>
  </si>
  <si>
    <t>TOYOTA - YARIS ATIV M/T</t>
  </si>
  <si>
    <t>YARIS ATIV CVT</t>
  </si>
  <si>
    <t>TOYOTA - YARIS ATIV CVT</t>
  </si>
  <si>
    <t>YARIS ATIV X M/T</t>
  </si>
  <si>
    <t>TOYOTA - YARIS ATIV X M/T</t>
  </si>
  <si>
    <t>YARIS ATIV X CVT</t>
  </si>
  <si>
    <t>TOYOTA - YARIS ATIV X CVT</t>
  </si>
  <si>
    <t>TUCSON FWD A/T GLS Sport</t>
  </si>
  <si>
    <t>HYUNDAI - TUCSON FWD A/T GLS Sport</t>
  </si>
  <si>
    <t>TUCSON AWD A/T Ultimate</t>
  </si>
  <si>
    <t>HYUNDAI - TUCSON AWD A/T Ultimate</t>
  </si>
  <si>
    <t>Sportage Alpha</t>
  </si>
  <si>
    <t>KIA - Sportage Alpha</t>
  </si>
  <si>
    <t>ALTO VX</t>
  </si>
  <si>
    <t>SUZUKI - ALTO VX</t>
  </si>
  <si>
    <t>Changan - M8</t>
  </si>
  <si>
    <t>MG JW Automobile Pakistan PVT LTD</t>
  </si>
  <si>
    <t>HS</t>
  </si>
  <si>
    <t>MG - HS</t>
  </si>
  <si>
    <t>Al HAJ AUTO MOTIVE PRIVATE LIMITED</t>
  </si>
  <si>
    <t>X70 Premium FWD - CKD</t>
  </si>
  <si>
    <t>PROTON - X70 Premium FWD - CKD</t>
  </si>
  <si>
    <t>X70 Premium AWD - CKD</t>
  </si>
  <si>
    <t>PROTON - X70 Premium AWD - CKD</t>
  </si>
  <si>
    <t>REGAL AUTOMOBILES INDUSTRIES</t>
  </si>
  <si>
    <t>GLORY 580  MT</t>
  </si>
  <si>
    <t>PRINCE - GLORY 580  MT</t>
  </si>
  <si>
    <t>GLORY 580  CVT Turbo</t>
  </si>
  <si>
    <t>PRINCE - GLORY 580  CVT Turbo</t>
  </si>
  <si>
    <t>GLORY 580  CVT</t>
  </si>
  <si>
    <t>PRINCE - GLORY 580  CVT</t>
  </si>
  <si>
    <t>GLORY 580  PRO</t>
  </si>
  <si>
    <t>PRINCE - GLORY 580  PRO</t>
  </si>
  <si>
    <t>PEARL</t>
  </si>
  <si>
    <t xml:space="preserve">PRINCE - PEARL </t>
  </si>
  <si>
    <t>SORENTO  FWD</t>
  </si>
  <si>
    <t>KIA - SORENTO  FWD</t>
  </si>
  <si>
    <t>SORENTO  AWD</t>
  </si>
  <si>
    <t>KIA - SORENTO  AWD</t>
  </si>
  <si>
    <t>SORENTO FWD</t>
  </si>
  <si>
    <t>KIA - SORENTO FWD</t>
  </si>
  <si>
    <t>ALSVIN DCT</t>
  </si>
  <si>
    <t>CHANGAN - ALSVIN DCT</t>
  </si>
  <si>
    <t>ALSVIN LUMIERE</t>
  </si>
  <si>
    <t>CHANGAN - ALSVIN LUMIERE</t>
  </si>
  <si>
    <t>ALSVIN  MT</t>
  </si>
  <si>
    <t>CHANGAN - ALSVIN  MT</t>
  </si>
  <si>
    <t>ROSHAN APNI CAR LOAN CALCULATION SHEET</t>
  </si>
  <si>
    <t>EFU General Insurance</t>
  </si>
  <si>
    <t>Adamjee Insurance Co</t>
  </si>
  <si>
    <t>Jubilee General Insurance</t>
  </si>
  <si>
    <t>UBL Insurer</t>
  </si>
  <si>
    <t>Insurance Co</t>
  </si>
  <si>
    <t>Base Rate</t>
  </si>
  <si>
    <t>With Tracker</t>
  </si>
  <si>
    <t>VAS with Tracker</t>
  </si>
  <si>
    <t>VAS without Tracker</t>
  </si>
  <si>
    <t>NA</t>
  </si>
  <si>
    <t>Yes</t>
  </si>
  <si>
    <t>No</t>
  </si>
  <si>
    <t>KIBOR</t>
  </si>
  <si>
    <t>Adamjee With Tracker</t>
  </si>
  <si>
    <t>EFU With Tracker</t>
  </si>
  <si>
    <t>Jubilee With Tracker</t>
  </si>
  <si>
    <t>UBL With Tracker</t>
  </si>
  <si>
    <t>Adamjee With Tracker With Addon (VAS*)</t>
  </si>
  <si>
    <t>EFU With Tracker With Addon (VAS*)</t>
  </si>
  <si>
    <t>Jubilee With Tracker With Addon (VAS*)</t>
  </si>
  <si>
    <t>UBL With Tracker With Addon (VAS*)</t>
  </si>
  <si>
    <t>1Year-Lien Product</t>
  </si>
  <si>
    <t>2Year-Lien Product</t>
  </si>
  <si>
    <t>3Year-Lien Product</t>
  </si>
  <si>
    <t>4year-Lien Product</t>
  </si>
  <si>
    <t>5year-Lien Product</t>
  </si>
  <si>
    <t>6year-Lien Product</t>
  </si>
  <si>
    <t>7year-Lien Product</t>
  </si>
  <si>
    <t>1Year-Non-Lien Product</t>
  </si>
  <si>
    <t>2Year-Non-Lien Product</t>
  </si>
  <si>
    <t>3Year-Non-Lien Product</t>
  </si>
  <si>
    <t>4year-Non-Lien Product</t>
  </si>
  <si>
    <t>5year-Non-Lien Product</t>
  </si>
  <si>
    <t>6year-Non-Lien Product</t>
  </si>
  <si>
    <t>7year-Non-Lien Product</t>
  </si>
  <si>
    <t>Floating-Lien Product</t>
  </si>
  <si>
    <t>Floating-Non-Lien Product</t>
  </si>
  <si>
    <t>INSURANCE COMPANY</t>
  </si>
  <si>
    <t>WITH TRACKER</t>
  </si>
  <si>
    <t>WITH VALUE ADDED SERVICE(S) - ADD-Ons</t>
  </si>
  <si>
    <t>INSURANCE RATE</t>
  </si>
  <si>
    <t>INSURANCE 
OPTIONS</t>
  </si>
  <si>
    <t xml:space="preserve">EQUITY : </t>
  </si>
  <si>
    <t>FINANCING :</t>
  </si>
  <si>
    <t>PROCESSING FEES :</t>
  </si>
  <si>
    <t>FEDRAL EXISE DUTY :</t>
  </si>
  <si>
    <t>1st YEAR INSURANCE :</t>
  </si>
  <si>
    <t>DOWN PAYMENT (Amount in PKR)</t>
  </si>
  <si>
    <t>TENTATIVE MONTHLY PAYMENT SCHEDULE</t>
  </si>
  <si>
    <t>Select Interest Rate</t>
  </si>
  <si>
    <t>DEPRECIATION</t>
  </si>
  <si>
    <t>INSURANCE INSTALLMENT</t>
  </si>
  <si>
    <t>TOTAL MONTHLY PAYMENT</t>
  </si>
  <si>
    <t>EQUAL MONTHLY INSTALLMENT</t>
  </si>
  <si>
    <t>CAR PRICE NEW (PKR):</t>
  </si>
  <si>
    <t>CAR PRICE USED (PKR):</t>
  </si>
  <si>
    <t>FIRST YEAR INSURANCE (PKR):</t>
  </si>
  <si>
    <t>INSURED AMOUNT (PKR):</t>
  </si>
  <si>
    <t>Adamjee W/o Tracker</t>
  </si>
  <si>
    <t>EFU W/o Tracker</t>
  </si>
  <si>
    <t>Jubilee W/o Tracker</t>
  </si>
  <si>
    <t>UBL W/o Tracker</t>
  </si>
  <si>
    <t>Adamjee W/o Tracker With Addon (VAS*)</t>
  </si>
  <si>
    <t>EFU W/o Tracker With Addon (VAS*)</t>
  </si>
  <si>
    <t>Jubilee W/o Tracker With Addon (VAS*)</t>
  </si>
  <si>
    <t>UBL W/o Tracker With Addon (VAS*)</t>
  </si>
  <si>
    <t>Without Tracker</t>
  </si>
  <si>
    <t>Insurance Company</t>
  </si>
  <si>
    <t>Value-Added Service(s)</t>
  </si>
  <si>
    <t>Details</t>
  </si>
  <si>
    <t>Adamjee</t>
  </si>
  <si>
    <r>
      <t>·</t>
    </r>
    <r>
      <rPr>
        <sz val="7"/>
        <rFont val="Times New Roman"/>
        <family val="1"/>
      </rPr>
      <t xml:space="preserve">          </t>
    </r>
    <r>
      <rPr>
        <sz val="8"/>
        <rFont val="Arial"/>
        <family val="2"/>
      </rPr>
      <t>Road Accidental Death Cover for loan borrower of sum insured of vehicle or PKR 2.5 Million whichever is less.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</si>
  <si>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8"/>
        <rFont val="Arial"/>
        <family val="2"/>
      </rPr>
      <t>Health Insurance plan of 20% of Vehicle’s Sum Insured or PKR 500,000 whichever is less. (Applicable for Age limit not more than 60 years)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</si>
  <si>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8"/>
        <rFont val="Arial"/>
        <family val="2"/>
      </rPr>
      <t>Online unlimited medical consultancy (Sehat Kahani) with Audio and Video call, both options for General Physician + Specialist. Facility available for loan borrower, Spouse and Kids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</si>
  <si>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8"/>
        <rFont val="Arial"/>
        <family val="2"/>
      </rPr>
      <t>Travel Insurance plan for loan borrower of USD 50,000 (Only applicable for Vehicle with sum insured above PKR. 2 Million).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</si>
  <si>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8"/>
        <rFont val="Arial"/>
        <family val="2"/>
      </rPr>
      <t>The loan will be settled up to the tune of PKR 2.5 Mn in case death of nominee.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</si>
  <si>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8"/>
        <rFont val="Arial"/>
        <family val="2"/>
      </rPr>
      <t>Hospitalization (Within Pakistan) of nominee based on provided policy cover.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</si>
  <si>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8"/>
        <rFont val="Arial"/>
        <family val="2"/>
      </rPr>
      <t>Online medical consultancy for nominee, its spouse and children.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</si>
  <si>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8"/>
        <rFont val="Arial"/>
        <family val="2"/>
      </rPr>
      <t>The nominee can avail travel insurance when traveling abroad from Pakistan.</t>
    </r>
  </si>
  <si>
    <t>EFU</t>
  </si>
  <si>
    <r>
      <t>·</t>
    </r>
    <r>
      <rPr>
        <sz val="7"/>
        <rFont val="Times New Roman"/>
        <family val="1"/>
      </rPr>
      <t xml:space="preserve">          </t>
    </r>
    <r>
      <rPr>
        <sz val="8"/>
        <rFont val="Arial"/>
        <family val="2"/>
      </rPr>
      <t>Personal accidental death coverage of PKR 2.5 million of the life of policy holder.</t>
    </r>
  </si>
  <si>
    <t>Jubilee</t>
  </si>
  <si>
    <r>
      <t>·</t>
    </r>
    <r>
      <rPr>
        <sz val="7"/>
        <rFont val="Times New Roman"/>
        <family val="1"/>
      </rPr>
      <t xml:space="preserve">          </t>
    </r>
    <r>
      <rPr>
        <sz val="8"/>
        <rFont val="Arial"/>
        <family val="2"/>
      </rPr>
      <t>Full outstanding financed amount to be paid by Jubilee General in the event of accidental death of Roshan Digital Account Holder, anywhere in the world.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</si>
  <si>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8"/>
        <rFont val="Arial"/>
        <family val="2"/>
      </rPr>
      <t>Free medical expense cover of up to PKR 1,000,000/- in case of hospitalization of Roshan Digital Account holder during the trip to Pakistan for 30 days.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</si>
  <si>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8"/>
        <rFont val="Arial"/>
        <family val="2"/>
      </rPr>
      <t xml:space="preserve">Rates are applicable up to vehicle value of PKR 10 Million. 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</si>
  <si>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8"/>
        <rFont val="Arial"/>
        <family val="2"/>
      </rPr>
      <t>The outstanding loan will be settled upon death of RDA holder (not nominee)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</si>
  <si>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8"/>
        <rFont val="Arial"/>
        <family val="2"/>
      </rPr>
      <t>Hospitalization in Pakistan only of RDA holder.</t>
    </r>
  </si>
  <si>
    <t>Exclusive Rates (p.a.)Exclusive Rates (p.a.)</t>
  </si>
  <si>
    <t>Exclusive Rates (p.a.) with Add-ons</t>
  </si>
  <si>
    <t xml:space="preserve">EFU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</si>
</sst>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00"/>
    <numFmt numFmtId="166" formatCode="&quot;$&quot;#,##0.000000_);[Red]\(&quot;$&quot;#,##0.000000\)"/>
    <numFmt numFmtId="167" formatCode="#,##0.000000"/>
    <numFmt numFmtId="168" formatCode="0.00000"/>
    <numFmt numFmtId="169" formatCode="[$-409]d\-mmm\-yy;@"/>
    <numFmt numFmtId="170" formatCode="0.0000%"/>
  </numFmts>
  <fonts count="3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Comic Sans MS"/>
      <family val="4"/>
    </font>
    <font>
      <sz val="10"/>
      <name val="Arial"/>
      <family val="2"/>
    </font>
    <font>
      <b/>
      <sz val="8"/>
      <color indexed="12"/>
      <name val="Comic Sans MS"/>
      <family val="4"/>
    </font>
    <font>
      <b/>
      <sz val="10"/>
      <name val="Wingdings 2"/>
      <family val="1"/>
      <charset val="2"/>
    </font>
    <font>
      <sz val="10"/>
      <name val="Arial"/>
      <family val="2"/>
    </font>
    <font>
      <sz val="10"/>
      <color indexed="9"/>
      <name val="Comic Sans MS"/>
      <family val="4"/>
    </font>
    <font>
      <b/>
      <sz val="10"/>
      <color indexed="9"/>
      <name val="Comic Sans MS"/>
      <family val="4"/>
    </font>
    <font>
      <sz val="10"/>
      <color theme="0"/>
      <name val="Comic Sans MS"/>
      <family val="4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5"/>
      <name val="Calibri"/>
      <family val="2"/>
      <scheme val="minor"/>
    </font>
    <font>
      <b/>
      <u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</font>
    <font>
      <b/>
      <sz val="10"/>
      <color theme="1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sz val="10"/>
      <color rgb="FFFF0000"/>
      <name val="Calibri"/>
      <family val="2"/>
    </font>
    <font>
      <sz val="10"/>
      <color rgb="FF000000"/>
      <name val="Calibri"/>
      <family val="2"/>
    </font>
    <font>
      <b/>
      <sz val="10"/>
      <color theme="0"/>
      <name val="Comic Sans MS"/>
      <family val="4"/>
    </font>
    <font>
      <b/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8"/>
      <name val="Calibri"/>
      <family val="2"/>
      <scheme val="minor"/>
    </font>
    <font>
      <b/>
      <sz val="8"/>
      <name val="Arial"/>
      <family val="2"/>
    </font>
    <font>
      <sz val="8"/>
      <name val="Symbol"/>
      <family val="1"/>
      <charset val="2"/>
    </font>
    <font>
      <sz val="7"/>
      <name val="Times New Roman"/>
      <family val="1"/>
    </font>
    <font>
      <b/>
      <sz val="8"/>
      <color theme="0"/>
      <name val="Arial"/>
      <family val="2"/>
    </font>
    <font>
      <b/>
      <sz val="12"/>
      <color theme="0"/>
      <name val="Arial"/>
      <family val="2"/>
    </font>
    <font>
      <b/>
      <sz val="12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00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0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theme="3" tint="0.59996337778862885"/>
      </left>
      <right/>
      <top style="double">
        <color theme="3" tint="0.59996337778862885"/>
      </top>
      <bottom style="double">
        <color theme="3" tint="0.59996337778862885"/>
      </bottom>
      <diagonal/>
    </border>
    <border>
      <left/>
      <right/>
      <top style="double">
        <color theme="3" tint="0.59996337778862885"/>
      </top>
      <bottom style="double">
        <color theme="3" tint="0.59996337778862885"/>
      </bottom>
      <diagonal/>
    </border>
    <border>
      <left style="double">
        <color theme="3" tint="0.59996337778862885"/>
      </left>
      <right style="hair">
        <color theme="3" tint="0.59996337778862885"/>
      </right>
      <top style="double">
        <color theme="3" tint="0.59996337778862885"/>
      </top>
      <bottom style="double">
        <color theme="3" tint="0.59996337778862885"/>
      </bottom>
      <diagonal/>
    </border>
    <border>
      <left style="hair">
        <color theme="3" tint="0.59996337778862885"/>
      </left>
      <right style="hair">
        <color theme="3" tint="0.59996337778862885"/>
      </right>
      <top style="double">
        <color theme="3" tint="0.59996337778862885"/>
      </top>
      <bottom style="double">
        <color theme="3" tint="0.59996337778862885"/>
      </bottom>
      <diagonal/>
    </border>
    <border>
      <left style="hair">
        <color theme="3" tint="0.59996337778862885"/>
      </left>
      <right style="hair">
        <color theme="3" tint="0.59996337778862885"/>
      </right>
      <top/>
      <bottom style="double">
        <color theme="3" tint="0.59996337778862885"/>
      </bottom>
      <diagonal/>
    </border>
    <border>
      <left style="dotted">
        <color theme="3" tint="0.39994506668294322"/>
      </left>
      <right style="dotted">
        <color theme="3" tint="0.39994506668294322"/>
      </right>
      <top/>
      <bottom style="dotted">
        <color theme="3" tint="0.39994506668294322"/>
      </bottom>
      <diagonal/>
    </border>
    <border>
      <left/>
      <right style="dotted">
        <color rgb="FF538DD5"/>
      </right>
      <top/>
      <bottom style="dotted">
        <color rgb="FF538DD5"/>
      </bottom>
      <diagonal/>
    </border>
    <border>
      <left/>
      <right style="dotted">
        <color rgb="FF8497B0"/>
      </right>
      <top/>
      <bottom style="dotted">
        <color rgb="FF8497B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</borders>
  <cellStyleXfs count="7">
    <xf numFmtId="0" fontId="0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178">
    <xf numFmtId="0" fontId="0" fillId="0" borderId="0" xfId="0"/>
    <xf numFmtId="6" fontId="0" fillId="0" borderId="0" xfId="1" applyNumberFormat="1" applyFont="1"/>
    <xf numFmtId="0" fontId="3" fillId="0" borderId="1" xfId="1" applyFont="1" applyBorder="1"/>
    <xf numFmtId="0" fontId="0" fillId="0" borderId="1" xfId="1" applyFont="1" applyBorder="1"/>
    <xf numFmtId="8" fontId="0" fillId="0" borderId="1" xfId="1" applyNumberFormat="1" applyFont="1" applyBorder="1"/>
    <xf numFmtId="0" fontId="3" fillId="0" borderId="1" xfId="1" applyFont="1" applyFill="1" applyBorder="1"/>
    <xf numFmtId="164" fontId="0" fillId="0" borderId="0" xfId="2" applyNumberFormat="1" applyFont="1"/>
    <xf numFmtId="164" fontId="3" fillId="0" borderId="1" xfId="2" applyNumberFormat="1" applyFont="1" applyFill="1" applyBorder="1"/>
    <xf numFmtId="164" fontId="0" fillId="0" borderId="1" xfId="2" applyNumberFormat="1" applyFont="1" applyBorder="1"/>
    <xf numFmtId="164" fontId="3" fillId="0" borderId="1" xfId="2" applyNumberFormat="1" applyFont="1" applyBorder="1"/>
    <xf numFmtId="9" fontId="0" fillId="0" borderId="1" xfId="2" applyNumberFormat="1" applyFont="1" applyBorder="1"/>
    <xf numFmtId="10" fontId="0" fillId="0" borderId="1" xfId="2" applyNumberFormat="1" applyFont="1" applyBorder="1"/>
    <xf numFmtId="164" fontId="0" fillId="0" borderId="0" xfId="1" applyNumberFormat="1" applyFont="1"/>
    <xf numFmtId="37" fontId="3" fillId="0" borderId="1" xfId="1" applyNumberFormat="1" applyFont="1" applyBorder="1"/>
    <xf numFmtId="37" fontId="0" fillId="0" borderId="1" xfId="1" applyNumberFormat="1" applyFont="1" applyBorder="1"/>
    <xf numFmtId="37" fontId="0" fillId="0" borderId="0" xfId="1" applyNumberFormat="1" applyFont="1"/>
    <xf numFmtId="37" fontId="3" fillId="0" borderId="1" xfId="1" applyNumberFormat="1" applyFont="1" applyFill="1" applyBorder="1"/>
    <xf numFmtId="10" fontId="3" fillId="0" borderId="1" xfId="1" applyNumberFormat="1" applyFont="1" applyBorder="1"/>
    <xf numFmtId="0" fontId="4" fillId="0" borderId="0" xfId="1" applyFont="1" applyProtection="1">
      <protection hidden="1"/>
    </xf>
    <xf numFmtId="0" fontId="4" fillId="0" borderId="0" xfId="1" applyFont="1" applyBorder="1" applyProtection="1">
      <protection hidden="1"/>
    </xf>
    <xf numFmtId="0" fontId="6" fillId="0" borderId="0" xfId="1" applyFont="1" applyProtection="1">
      <protection hidden="1"/>
    </xf>
    <xf numFmtId="0" fontId="5" fillId="0" borderId="0" xfId="1" applyFont="1" applyBorder="1" applyAlignment="1" applyProtection="1">
      <alignment horizontal="center"/>
      <protection hidden="1"/>
    </xf>
    <xf numFmtId="167" fontId="0" fillId="0" borderId="0" xfId="1" applyNumberFormat="1" applyFont="1" applyBorder="1" applyProtection="1">
      <protection hidden="1"/>
    </xf>
    <xf numFmtId="0" fontId="0" fillId="0" borderId="0" xfId="1" applyFont="1" applyBorder="1" applyProtection="1">
      <protection hidden="1"/>
    </xf>
    <xf numFmtId="0" fontId="5" fillId="0" borderId="0" xfId="1" applyFont="1" applyBorder="1" applyProtection="1">
      <protection hidden="1"/>
    </xf>
    <xf numFmtId="10" fontId="5" fillId="0" borderId="0" xfId="1" applyNumberFormat="1" applyFont="1" applyBorder="1" applyAlignment="1" applyProtection="1">
      <alignment horizontal="center"/>
      <protection hidden="1"/>
    </xf>
    <xf numFmtId="0" fontId="5" fillId="0" borderId="0" xfId="1" applyFont="1" applyBorder="1" applyAlignment="1" applyProtection="1">
      <alignment vertical="center" wrapText="1"/>
      <protection hidden="1"/>
    </xf>
    <xf numFmtId="165" fontId="4" fillId="0" borderId="0" xfId="3" applyNumberFormat="1" applyFont="1" applyBorder="1" applyProtection="1">
      <protection hidden="1"/>
    </xf>
    <xf numFmtId="166" fontId="4" fillId="0" borderId="0" xfId="1" applyNumberFormat="1" applyFont="1" applyProtection="1">
      <protection hidden="1"/>
    </xf>
    <xf numFmtId="0" fontId="7" fillId="0" borderId="0" xfId="1" applyFont="1" applyProtection="1">
      <protection hidden="1"/>
    </xf>
    <xf numFmtId="0" fontId="9" fillId="2" borderId="0" xfId="1" applyFont="1" applyFill="1" applyProtection="1">
      <protection hidden="1"/>
    </xf>
    <xf numFmtId="9" fontId="10" fillId="2" borderId="0" xfId="1" applyNumberFormat="1" applyFont="1" applyFill="1" applyAlignment="1" applyProtection="1">
      <alignment horizontal="center"/>
      <protection hidden="1"/>
    </xf>
    <xf numFmtId="0" fontId="11" fillId="3" borderId="0" xfId="1" applyFont="1" applyFill="1" applyProtection="1">
      <protection hidden="1"/>
    </xf>
    <xf numFmtId="0" fontId="12" fillId="0" borderId="0" xfId="1" applyFont="1" applyProtection="1">
      <protection hidden="1"/>
    </xf>
    <xf numFmtId="0" fontId="13" fillId="0" borderId="0" xfId="1" applyFont="1" applyProtection="1">
      <protection hidden="1"/>
    </xf>
    <xf numFmtId="0" fontId="12" fillId="0" borderId="0" xfId="1" applyFont="1" applyBorder="1" applyProtection="1">
      <protection hidden="1"/>
    </xf>
    <xf numFmtId="0" fontId="12" fillId="0" borderId="0" xfId="1" applyFont="1" applyBorder="1" applyAlignment="1" applyProtection="1">
      <alignment horizontal="center"/>
      <protection hidden="1"/>
    </xf>
    <xf numFmtId="0" fontId="13" fillId="0" borderId="0" xfId="1" applyFont="1" applyAlignment="1" applyProtection="1">
      <alignment horizontal="right"/>
      <protection hidden="1"/>
    </xf>
    <xf numFmtId="9" fontId="13" fillId="0" borderId="0" xfId="1" applyNumberFormat="1" applyFont="1" applyAlignment="1" applyProtection="1">
      <alignment horizontal="center"/>
      <protection hidden="1"/>
    </xf>
    <xf numFmtId="0" fontId="13" fillId="0" borderId="0" xfId="1" applyFont="1" applyBorder="1" applyProtection="1">
      <protection hidden="1"/>
    </xf>
    <xf numFmtId="0" fontId="14" fillId="3" borderId="0" xfId="1" applyFont="1" applyFill="1" applyProtection="1">
      <protection hidden="1"/>
    </xf>
    <xf numFmtId="0" fontId="15" fillId="3" borderId="0" xfId="1" applyFont="1" applyFill="1" applyAlignment="1" applyProtection="1">
      <alignment horizontal="left"/>
      <protection hidden="1"/>
    </xf>
    <xf numFmtId="0" fontId="15" fillId="3" borderId="0" xfId="1" quotePrefix="1" applyFont="1" applyFill="1" applyAlignment="1" applyProtection="1">
      <alignment horizontal="center"/>
      <protection hidden="1"/>
    </xf>
    <xf numFmtId="0" fontId="13" fillId="0" borderId="0" xfId="1" applyFont="1" applyAlignment="1" applyProtection="1">
      <alignment horizontal="left"/>
      <protection hidden="1"/>
    </xf>
    <xf numFmtId="0" fontId="13" fillId="0" borderId="0" xfId="1" applyFont="1" applyAlignment="1" applyProtection="1">
      <alignment horizontal="center"/>
      <protection hidden="1"/>
    </xf>
    <xf numFmtId="0" fontId="13" fillId="0" borderId="0" xfId="1" applyFont="1" applyBorder="1" applyAlignment="1" applyProtection="1">
      <alignment horizontal="center"/>
      <protection hidden="1"/>
    </xf>
    <xf numFmtId="0" fontId="13" fillId="0" borderId="0" xfId="1" applyFont="1" applyAlignment="1" applyProtection="1">
      <protection hidden="1"/>
    </xf>
    <xf numFmtId="9" fontId="12" fillId="0" borderId="2" xfId="1" applyNumberFormat="1" applyFont="1" applyBorder="1" applyProtection="1">
      <protection hidden="1"/>
    </xf>
    <xf numFmtId="3" fontId="13" fillId="0" borderId="0" xfId="1" applyNumberFormat="1" applyFont="1" applyBorder="1" applyAlignment="1" applyProtection="1">
      <protection hidden="1"/>
    </xf>
    <xf numFmtId="10" fontId="12" fillId="0" borderId="0" xfId="1" applyNumberFormat="1" applyFont="1" applyBorder="1" applyProtection="1">
      <protection hidden="1"/>
    </xf>
    <xf numFmtId="9" fontId="12" fillId="0" borderId="0" xfId="1" applyNumberFormat="1" applyFont="1" applyBorder="1" applyAlignment="1" applyProtection="1">
      <alignment horizontal="center"/>
      <protection hidden="1"/>
    </xf>
    <xf numFmtId="0" fontId="16" fillId="0" borderId="0" xfId="1" applyFont="1" applyBorder="1" applyAlignment="1" applyProtection="1">
      <alignment horizontal="center"/>
      <protection hidden="1"/>
    </xf>
    <xf numFmtId="0" fontId="17" fillId="0" borderId="0" xfId="1" applyFont="1" applyBorder="1" applyAlignment="1" applyProtection="1">
      <alignment horizontal="center"/>
      <protection hidden="1"/>
    </xf>
    <xf numFmtId="169" fontId="14" fillId="3" borderId="0" xfId="1" applyNumberFormat="1" applyFont="1" applyFill="1" applyAlignment="1" applyProtection="1">
      <alignment horizontal="left"/>
      <protection hidden="1"/>
    </xf>
    <xf numFmtId="1" fontId="11" fillId="3" borderId="0" xfId="1" applyNumberFormat="1" applyFont="1" applyFill="1" applyProtection="1">
      <protection hidden="1"/>
    </xf>
    <xf numFmtId="1" fontId="4" fillId="0" borderId="0" xfId="1" applyNumberFormat="1" applyFont="1" applyProtection="1">
      <protection hidden="1"/>
    </xf>
    <xf numFmtId="0" fontId="1" fillId="0" borderId="0" xfId="1" applyFont="1" applyBorder="1" applyAlignment="1" applyProtection="1">
      <alignment horizontal="center"/>
      <protection hidden="1"/>
    </xf>
    <xf numFmtId="10" fontId="1" fillId="0" borderId="0" xfId="1" applyNumberFormat="1" applyFont="1" applyBorder="1" applyAlignment="1" applyProtection="1">
      <alignment horizontal="center"/>
      <protection hidden="1"/>
    </xf>
    <xf numFmtId="0" fontId="20" fillId="6" borderId="6" xfId="5" applyFont="1" applyFill="1" applyBorder="1" applyAlignment="1"/>
    <xf numFmtId="0" fontId="20" fillId="6" borderId="7" xfId="5" applyFont="1" applyFill="1" applyBorder="1" applyAlignment="1"/>
    <xf numFmtId="164" fontId="20" fillId="6" borderId="7" xfId="2" applyNumberFormat="1" applyFont="1" applyFill="1" applyBorder="1" applyAlignment="1">
      <alignment horizontal="center" vertical="center"/>
    </xf>
    <xf numFmtId="0" fontId="20" fillId="6" borderId="7" xfId="5" applyFont="1" applyFill="1" applyBorder="1" applyAlignment="1">
      <alignment horizontal="center"/>
    </xf>
    <xf numFmtId="0" fontId="20" fillId="7" borderId="8" xfId="6" applyFont="1" applyFill="1" applyBorder="1" applyAlignment="1">
      <alignment horizontal="center" vertical="center" wrapText="1"/>
    </xf>
    <xf numFmtId="0" fontId="20" fillId="7" borderId="9" xfId="5" applyFont="1" applyFill="1" applyBorder="1" applyAlignment="1">
      <alignment horizontal="center" vertical="center" wrapText="1"/>
    </xf>
    <xf numFmtId="164" fontId="20" fillId="7" borderId="10" xfId="2" applyNumberFormat="1" applyFont="1" applyFill="1" applyBorder="1" applyAlignment="1">
      <alignment horizontal="center" vertical="center" wrapText="1"/>
    </xf>
    <xf numFmtId="0" fontId="21" fillId="7" borderId="10" xfId="5" applyFont="1" applyFill="1" applyBorder="1" applyAlignment="1">
      <alignment horizontal="center" vertical="center" wrapText="1"/>
    </xf>
    <xf numFmtId="0" fontId="20" fillId="7" borderId="10" xfId="5" applyFont="1" applyFill="1" applyBorder="1" applyAlignment="1">
      <alignment horizontal="center" vertical="center" wrapText="1"/>
    </xf>
    <xf numFmtId="0" fontId="22" fillId="3" borderId="11" xfId="6" applyFont="1" applyFill="1" applyBorder="1" applyAlignment="1">
      <alignment horizontal="center"/>
    </xf>
    <xf numFmtId="0" fontId="22" fillId="8" borderId="11" xfId="5" applyFont="1" applyFill="1" applyBorder="1" applyAlignment="1">
      <alignment horizontal="center"/>
    </xf>
    <xf numFmtId="0" fontId="22" fillId="3" borderId="11" xfId="5" applyFont="1" applyFill="1" applyBorder="1" applyAlignment="1">
      <alignment horizontal="center"/>
    </xf>
    <xf numFmtId="164" fontId="22" fillId="8" borderId="11" xfId="2" applyNumberFormat="1" applyFont="1" applyFill="1" applyBorder="1" applyAlignment="1">
      <alignment horizontal="center" vertical="center"/>
    </xf>
    <xf numFmtId="0" fontId="22" fillId="0" borderId="11" xfId="6" applyFont="1" applyFill="1" applyBorder="1" applyAlignment="1">
      <alignment horizontal="center"/>
    </xf>
    <xf numFmtId="0" fontId="22" fillId="0" borderId="11" xfId="5" applyFont="1" applyFill="1" applyBorder="1" applyAlignment="1">
      <alignment horizontal="center"/>
    </xf>
    <xf numFmtId="164" fontId="22" fillId="0" borderId="11" xfId="2" applyNumberFormat="1" applyFont="1" applyFill="1" applyBorder="1" applyAlignment="1">
      <alignment horizontal="center" vertical="center"/>
    </xf>
    <xf numFmtId="164" fontId="22" fillId="3" borderId="11" xfId="2" applyNumberFormat="1" applyFont="1" applyFill="1" applyBorder="1" applyAlignment="1">
      <alignment horizontal="center" vertical="center"/>
    </xf>
    <xf numFmtId="9" fontId="22" fillId="9" borderId="11" xfId="6" applyNumberFormat="1" applyFont="1" applyFill="1" applyBorder="1" applyAlignment="1">
      <alignment horizontal="center"/>
    </xf>
    <xf numFmtId="0" fontId="22" fillId="9" borderId="11" xfId="6" applyFont="1" applyFill="1" applyBorder="1" applyAlignment="1">
      <alignment horizontal="center"/>
    </xf>
    <xf numFmtId="0" fontId="22" fillId="9" borderId="11" xfId="6" applyNumberFormat="1" applyFont="1" applyFill="1" applyBorder="1" applyAlignment="1">
      <alignment horizontal="center"/>
    </xf>
    <xf numFmtId="0" fontId="22" fillId="10" borderId="11" xfId="5" applyFont="1" applyFill="1" applyBorder="1" applyAlignment="1">
      <alignment horizontal="center"/>
    </xf>
    <xf numFmtId="0" fontId="23" fillId="8" borderId="12" xfId="0" applyFont="1" applyFill="1" applyBorder="1" applyAlignment="1">
      <alignment horizontal="center" vertical="center"/>
    </xf>
    <xf numFmtId="0" fontId="23" fillId="11" borderId="12" xfId="0" applyFont="1" applyFill="1" applyBorder="1" applyAlignment="1">
      <alignment horizontal="center" vertical="center"/>
    </xf>
    <xf numFmtId="164" fontId="23" fillId="8" borderId="12" xfId="2" applyNumberFormat="1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center" vertical="center"/>
    </xf>
    <xf numFmtId="164" fontId="23" fillId="0" borderId="12" xfId="2" applyNumberFormat="1" applyFont="1" applyFill="1" applyBorder="1" applyAlignment="1">
      <alignment horizontal="center" vertical="center"/>
    </xf>
    <xf numFmtId="164" fontId="23" fillId="0" borderId="0" xfId="2" applyNumberFormat="1" applyFont="1" applyFill="1" applyBorder="1" applyAlignment="1">
      <alignment horizontal="center" vertical="center"/>
    </xf>
    <xf numFmtId="0" fontId="23" fillId="11" borderId="0" xfId="0" applyFont="1" applyFill="1" applyBorder="1" applyAlignment="1">
      <alignment horizontal="center" vertical="center"/>
    </xf>
    <xf numFmtId="164" fontId="23" fillId="11" borderId="0" xfId="2" applyNumberFormat="1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/>
    </xf>
    <xf numFmtId="164" fontId="25" fillId="0" borderId="0" xfId="2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10" fontId="0" fillId="0" borderId="0" xfId="0" applyNumberFormat="1"/>
    <xf numFmtId="0" fontId="1" fillId="0" borderId="0" xfId="0" applyFont="1"/>
    <xf numFmtId="0" fontId="11" fillId="0" borderId="0" xfId="1" applyFont="1" applyProtection="1">
      <protection hidden="1"/>
    </xf>
    <xf numFmtId="1" fontId="26" fillId="0" borderId="0" xfId="1" applyNumberFormat="1" applyFont="1" applyProtection="1">
      <protection hidden="1"/>
    </xf>
    <xf numFmtId="10" fontId="0" fillId="0" borderId="0" xfId="0" applyNumberFormat="1" applyAlignment="1">
      <alignment wrapText="1"/>
    </xf>
    <xf numFmtId="10" fontId="0" fillId="0" borderId="0" xfId="4" applyNumberFormat="1" applyFont="1"/>
    <xf numFmtId="37" fontId="14" fillId="0" borderId="0" xfId="1" applyNumberFormat="1" applyFont="1" applyBorder="1" applyAlignment="1" applyProtection="1">
      <alignment horizontal="center"/>
      <protection hidden="1"/>
    </xf>
    <xf numFmtId="0" fontId="16" fillId="0" borderId="0" xfId="1" applyFont="1" applyBorder="1" applyAlignment="1" applyProtection="1">
      <alignment horizontal="center"/>
      <protection hidden="1"/>
    </xf>
    <xf numFmtId="0" fontId="17" fillId="0" borderId="0" xfId="1" applyFont="1" applyBorder="1" applyAlignment="1" applyProtection="1">
      <alignment horizontal="center"/>
      <protection hidden="1"/>
    </xf>
    <xf numFmtId="0" fontId="17" fillId="0" borderId="0" xfId="1" applyFont="1" applyBorder="1" applyAlignment="1" applyProtection="1">
      <protection hidden="1"/>
    </xf>
    <xf numFmtId="10" fontId="12" fillId="3" borderId="0" xfId="1" applyNumberFormat="1" applyFont="1" applyFill="1" applyBorder="1" applyAlignment="1" applyProtection="1">
      <alignment horizontal="center"/>
      <protection hidden="1"/>
    </xf>
    <xf numFmtId="9" fontId="12" fillId="0" borderId="0" xfId="1" applyNumberFormat="1" applyFont="1" applyBorder="1" applyProtection="1">
      <protection hidden="1"/>
    </xf>
    <xf numFmtId="0" fontId="12" fillId="5" borderId="15" xfId="1" applyFont="1" applyFill="1" applyBorder="1" applyProtection="1">
      <protection hidden="1"/>
    </xf>
    <xf numFmtId="0" fontId="12" fillId="0" borderId="14" xfId="1" applyFont="1" applyBorder="1" applyAlignment="1" applyProtection="1">
      <alignment vertical="center"/>
      <protection hidden="1"/>
    </xf>
    <xf numFmtId="0" fontId="4" fillId="0" borderId="18" xfId="1" applyFont="1" applyBorder="1" applyProtection="1">
      <protection hidden="1"/>
    </xf>
    <xf numFmtId="0" fontId="15" fillId="5" borderId="14" xfId="1" applyFont="1" applyFill="1" applyBorder="1" applyAlignment="1" applyProtection="1">
      <alignment vertical="center"/>
      <protection hidden="1"/>
    </xf>
    <xf numFmtId="0" fontId="14" fillId="5" borderId="14" xfId="1" applyFont="1" applyFill="1" applyBorder="1" applyAlignment="1" applyProtection="1">
      <alignment vertical="center"/>
      <protection hidden="1"/>
    </xf>
    <xf numFmtId="0" fontId="13" fillId="4" borderId="14" xfId="1" applyFont="1" applyFill="1" applyBorder="1" applyAlignment="1" applyProtection="1">
      <alignment horizontal="center"/>
      <protection hidden="1"/>
    </xf>
    <xf numFmtId="0" fontId="13" fillId="4" borderId="16" xfId="1" applyFont="1" applyFill="1" applyBorder="1" applyAlignment="1" applyProtection="1">
      <alignment horizontal="centerContinuous"/>
      <protection hidden="1"/>
    </xf>
    <xf numFmtId="0" fontId="19" fillId="0" borderId="0" xfId="1" applyFont="1" applyAlignment="1" applyProtection="1">
      <alignment horizontal="center" vertical="center"/>
      <protection hidden="1"/>
    </xf>
    <xf numFmtId="0" fontId="29" fillId="0" borderId="0" xfId="1" applyFont="1" applyBorder="1" applyAlignment="1" applyProtection="1">
      <alignment horizontal="center" vertical="center"/>
      <protection hidden="1"/>
    </xf>
    <xf numFmtId="3" fontId="19" fillId="0" borderId="0" xfId="1" applyNumberFormat="1" applyFont="1" applyBorder="1" applyAlignment="1" applyProtection="1">
      <alignment vertical="center"/>
      <protection hidden="1"/>
    </xf>
    <xf numFmtId="0" fontId="19" fillId="0" borderId="0" xfId="1" applyFont="1" applyBorder="1" applyAlignment="1" applyProtection="1">
      <alignment horizontal="center" vertical="center"/>
      <protection hidden="1"/>
    </xf>
    <xf numFmtId="9" fontId="19" fillId="0" borderId="0" xfId="1" applyNumberFormat="1" applyFont="1" applyAlignment="1" applyProtection="1">
      <alignment horizontal="center" vertical="center"/>
      <protection hidden="1"/>
    </xf>
    <xf numFmtId="0" fontId="12" fillId="0" borderId="18" xfId="1" applyFont="1" applyBorder="1" applyProtection="1">
      <protection hidden="1"/>
    </xf>
    <xf numFmtId="0" fontId="27" fillId="0" borderId="0" xfId="1" applyFont="1" applyAlignment="1" applyProtection="1">
      <alignment horizontal="right" vertical="center"/>
      <protection hidden="1"/>
    </xf>
    <xf numFmtId="37" fontId="19" fillId="0" borderId="0" xfId="1" applyNumberFormat="1" applyFont="1" applyBorder="1" applyAlignment="1" applyProtection="1">
      <alignment horizontal="center" vertical="center"/>
      <protection hidden="1"/>
    </xf>
    <xf numFmtId="37" fontId="13" fillId="0" borderId="0" xfId="1" applyNumberFormat="1" applyFont="1" applyBorder="1" applyAlignment="1" applyProtection="1">
      <alignment horizontal="center"/>
      <protection hidden="1"/>
    </xf>
    <xf numFmtId="0" fontId="13" fillId="5" borderId="14" xfId="1" applyFont="1" applyFill="1" applyBorder="1" applyAlignment="1" applyProtection="1">
      <alignment horizontal="center" vertical="center"/>
      <protection hidden="1"/>
    </xf>
    <xf numFmtId="0" fontId="12" fillId="5" borderId="0" xfId="1" applyFont="1" applyFill="1" applyBorder="1" applyAlignment="1" applyProtection="1">
      <alignment horizontal="center" wrapText="1"/>
      <protection locked="0" hidden="1"/>
    </xf>
    <xf numFmtId="0" fontId="12" fillId="5" borderId="14" xfId="1" applyFont="1" applyFill="1" applyBorder="1" applyAlignment="1" applyProtection="1">
      <alignment horizontal="center" vertical="center"/>
      <protection locked="0" hidden="1"/>
    </xf>
    <xf numFmtId="0" fontId="12" fillId="5" borderId="0" xfId="1" applyFont="1" applyFill="1" applyBorder="1" applyAlignment="1" applyProtection="1">
      <alignment horizontal="center"/>
      <protection locked="0" hidden="1"/>
    </xf>
    <xf numFmtId="9" fontId="12" fillId="5" borderId="14" xfId="1" applyNumberFormat="1" applyFont="1" applyFill="1" applyBorder="1" applyAlignment="1" applyProtection="1">
      <alignment horizontal="center" vertical="center"/>
      <protection locked="0" hidden="1"/>
    </xf>
    <xf numFmtId="9" fontId="12" fillId="5" borderId="0" xfId="1" applyNumberFormat="1" applyFont="1" applyFill="1" applyBorder="1" applyAlignment="1" applyProtection="1">
      <alignment horizontal="center"/>
      <protection locked="0" hidden="1"/>
    </xf>
    <xf numFmtId="0" fontId="33" fillId="0" borderId="20" xfId="0" applyFont="1" applyBorder="1" applyAlignment="1">
      <alignment horizontal="center" vertical="center" wrapText="1"/>
    </xf>
    <xf numFmtId="0" fontId="32" fillId="16" borderId="20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35" fillId="15" borderId="20" xfId="0" applyFont="1" applyFill="1" applyBorder="1" applyAlignment="1">
      <alignment horizontal="center" vertical="center" wrapText="1"/>
    </xf>
    <xf numFmtId="0" fontId="37" fillId="0" borderId="20" xfId="0" applyFont="1" applyBorder="1" applyAlignment="1">
      <alignment horizontal="center" vertical="center" wrapText="1"/>
    </xf>
    <xf numFmtId="10" fontId="37" fillId="0" borderId="20" xfId="0" applyNumberFormat="1" applyFont="1" applyBorder="1" applyAlignment="1">
      <alignment horizontal="center" vertical="center" wrapText="1"/>
    </xf>
    <xf numFmtId="10" fontId="0" fillId="17" borderId="0" xfId="0" applyNumberFormat="1" applyFill="1"/>
    <xf numFmtId="0" fontId="13" fillId="4" borderId="16" xfId="1" applyFont="1" applyFill="1" applyBorder="1" applyAlignment="1" applyProtection="1">
      <alignment horizontal="center"/>
      <protection hidden="1"/>
    </xf>
    <xf numFmtId="0" fontId="13" fillId="4" borderId="19" xfId="1" applyFont="1" applyFill="1" applyBorder="1" applyAlignment="1" applyProtection="1">
      <alignment horizontal="center"/>
      <protection hidden="1"/>
    </xf>
    <xf numFmtId="0" fontId="13" fillId="4" borderId="17" xfId="1" applyFont="1" applyFill="1" applyBorder="1" applyAlignment="1" applyProtection="1">
      <alignment horizontal="center"/>
      <protection hidden="1"/>
    </xf>
    <xf numFmtId="10" fontId="18" fillId="13" borderId="14" xfId="4" applyNumberFormat="1" applyFont="1" applyFill="1" applyBorder="1" applyAlignment="1" applyProtection="1">
      <alignment horizontal="center" vertical="center"/>
      <protection locked="0" hidden="1"/>
    </xf>
    <xf numFmtId="3" fontId="12" fillId="3" borderId="14" xfId="1" applyNumberFormat="1" applyFont="1" applyFill="1" applyBorder="1" applyAlignment="1" applyProtection="1">
      <alignment horizontal="center" vertical="center"/>
      <protection hidden="1"/>
    </xf>
    <xf numFmtId="37" fontId="14" fillId="0" borderId="14" xfId="1" applyNumberFormat="1" applyFont="1" applyBorder="1" applyAlignment="1" applyProtection="1">
      <alignment horizontal="center" vertical="center"/>
      <protection hidden="1"/>
    </xf>
    <xf numFmtId="0" fontId="14" fillId="0" borderId="14" xfId="1" applyFont="1" applyBorder="1" applyAlignment="1" applyProtection="1">
      <alignment horizontal="center" vertical="center"/>
      <protection hidden="1"/>
    </xf>
    <xf numFmtId="0" fontId="13" fillId="5" borderId="14" xfId="1" applyFont="1" applyFill="1" applyBorder="1" applyAlignment="1" applyProtection="1">
      <alignment horizontal="center" vertical="center"/>
      <protection hidden="1"/>
    </xf>
    <xf numFmtId="10" fontId="18" fillId="3" borderId="14" xfId="1" applyNumberFormat="1" applyFont="1" applyFill="1" applyBorder="1" applyAlignment="1" applyProtection="1">
      <alignment horizontal="center" vertical="center"/>
      <protection hidden="1"/>
    </xf>
    <xf numFmtId="0" fontId="13" fillId="5" borderId="16" xfId="1" applyFont="1" applyFill="1" applyBorder="1" applyAlignment="1" applyProtection="1">
      <alignment horizontal="center" vertical="center"/>
      <protection hidden="1"/>
    </xf>
    <xf numFmtId="0" fontId="13" fillId="5" borderId="19" xfId="1" applyFont="1" applyFill="1" applyBorder="1" applyAlignment="1" applyProtection="1">
      <alignment horizontal="center" vertical="center"/>
      <protection hidden="1"/>
    </xf>
    <xf numFmtId="0" fontId="13" fillId="5" borderId="17" xfId="1" applyFont="1" applyFill="1" applyBorder="1" applyAlignment="1" applyProtection="1">
      <alignment horizontal="center" vertical="center"/>
      <protection hidden="1"/>
    </xf>
    <xf numFmtId="37" fontId="18" fillId="13" borderId="16" xfId="1" applyNumberFormat="1" applyFont="1" applyFill="1" applyBorder="1" applyAlignment="1" applyProtection="1">
      <alignment horizontal="center" vertical="center"/>
      <protection hidden="1"/>
    </xf>
    <xf numFmtId="37" fontId="18" fillId="13" borderId="19" xfId="1" applyNumberFormat="1" applyFont="1" applyFill="1" applyBorder="1" applyAlignment="1" applyProtection="1">
      <alignment horizontal="center" vertical="center"/>
      <protection hidden="1"/>
    </xf>
    <xf numFmtId="37" fontId="18" fillId="13" borderId="17" xfId="1" applyNumberFormat="1" applyFont="1" applyFill="1" applyBorder="1" applyAlignment="1" applyProtection="1">
      <alignment horizontal="center" vertical="center"/>
      <protection hidden="1"/>
    </xf>
    <xf numFmtId="37" fontId="13" fillId="0" borderId="0" xfId="1" applyNumberFormat="1" applyFont="1" applyBorder="1" applyAlignment="1" applyProtection="1">
      <alignment horizontal="center"/>
      <protection hidden="1"/>
    </xf>
    <xf numFmtId="0" fontId="30" fillId="12" borderId="0" xfId="1" applyFont="1" applyFill="1" applyAlignment="1" applyProtection="1">
      <alignment horizontal="center" vertical="center"/>
      <protection hidden="1"/>
    </xf>
    <xf numFmtId="0" fontId="15" fillId="0" borderId="0" xfId="1" applyFont="1" applyFill="1" applyBorder="1" applyAlignment="1" applyProtection="1">
      <alignment horizontal="center"/>
      <protection hidden="1"/>
    </xf>
    <xf numFmtId="170" fontId="15" fillId="0" borderId="0" xfId="1" applyNumberFormat="1" applyFont="1" applyFill="1" applyBorder="1" applyAlignment="1" applyProtection="1">
      <alignment horizontal="center"/>
      <protection hidden="1"/>
    </xf>
    <xf numFmtId="10" fontId="15" fillId="0" borderId="0" xfId="1" applyNumberFormat="1" applyFont="1" applyFill="1" applyBorder="1" applyAlignment="1" applyProtection="1">
      <alignment horizontal="center"/>
      <protection hidden="1"/>
    </xf>
    <xf numFmtId="37" fontId="19" fillId="0" borderId="0" xfId="1" applyNumberFormat="1" applyFont="1" applyBorder="1" applyAlignment="1" applyProtection="1">
      <alignment horizontal="center" vertical="center"/>
      <protection hidden="1"/>
    </xf>
    <xf numFmtId="168" fontId="13" fillId="0" borderId="14" xfId="1" applyNumberFormat="1" applyFont="1" applyFill="1" applyBorder="1" applyAlignment="1" applyProtection="1">
      <alignment horizontal="center"/>
      <protection locked="0" hidden="1"/>
    </xf>
    <xf numFmtId="0" fontId="13" fillId="5" borderId="14" xfId="1" applyNumberFormat="1" applyFont="1" applyFill="1" applyBorder="1" applyAlignment="1" applyProtection="1">
      <alignment horizontal="center"/>
      <protection hidden="1"/>
    </xf>
    <xf numFmtId="9" fontId="12" fillId="3" borderId="14" xfId="1" applyNumberFormat="1" applyFont="1" applyFill="1" applyBorder="1" applyAlignment="1" applyProtection="1">
      <alignment horizontal="center" vertical="center"/>
      <protection hidden="1"/>
    </xf>
    <xf numFmtId="9" fontId="12" fillId="0" borderId="14" xfId="1" applyNumberFormat="1" applyFont="1" applyFill="1" applyBorder="1" applyAlignment="1" applyProtection="1">
      <alignment horizontal="center" vertical="center" wrapText="1"/>
      <protection locked="0" hidden="1"/>
    </xf>
    <xf numFmtId="0" fontId="12" fillId="0" borderId="14" xfId="1" applyFont="1" applyFill="1" applyBorder="1" applyAlignment="1" applyProtection="1">
      <alignment horizontal="center" vertical="center" wrapText="1"/>
      <protection locked="0" hidden="1"/>
    </xf>
    <xf numFmtId="0" fontId="12" fillId="0" borderId="14" xfId="1" applyFont="1" applyFill="1" applyBorder="1" applyAlignment="1" applyProtection="1">
      <alignment horizontal="center" vertical="center"/>
      <protection locked="0" hidden="1"/>
    </xf>
    <xf numFmtId="0" fontId="31" fillId="0" borderId="0" xfId="1" applyFont="1" applyBorder="1" applyAlignment="1" applyProtection="1">
      <alignment horizontal="center"/>
      <protection hidden="1"/>
    </xf>
    <xf numFmtId="9" fontId="12" fillId="0" borderId="14" xfId="4" applyFont="1" applyFill="1" applyBorder="1" applyAlignment="1" applyProtection="1">
      <alignment horizontal="center" vertical="center"/>
      <protection locked="0" hidden="1"/>
    </xf>
    <xf numFmtId="9" fontId="12" fillId="0" borderId="14" xfId="4" applyFont="1" applyBorder="1" applyAlignment="1" applyProtection="1">
      <alignment horizontal="center" vertical="center"/>
      <protection hidden="1"/>
    </xf>
    <xf numFmtId="3" fontId="12" fillId="0" borderId="14" xfId="1" applyNumberFormat="1" applyFont="1" applyFill="1" applyBorder="1" applyAlignment="1" applyProtection="1">
      <alignment horizontal="center" vertical="center"/>
      <protection locked="0" hidden="1"/>
    </xf>
    <xf numFmtId="37" fontId="12" fillId="0" borderId="14" xfId="1" applyNumberFormat="1" applyFont="1" applyBorder="1" applyAlignment="1" applyProtection="1">
      <alignment horizontal="center" vertical="center"/>
      <protection hidden="1"/>
    </xf>
    <xf numFmtId="0" fontId="12" fillId="0" borderId="14" xfId="1" applyFont="1" applyBorder="1" applyAlignment="1" applyProtection="1">
      <alignment horizontal="center" vertical="center"/>
      <protection hidden="1"/>
    </xf>
    <xf numFmtId="3" fontId="12" fillId="0" borderId="14" xfId="1" applyNumberFormat="1" applyFont="1" applyBorder="1" applyAlignment="1" applyProtection="1">
      <alignment horizontal="center" vertical="center"/>
      <protection hidden="1"/>
    </xf>
    <xf numFmtId="0" fontId="28" fillId="0" borderId="0" xfId="1" applyFont="1" applyBorder="1" applyAlignment="1" applyProtection="1">
      <alignment horizontal="center" vertical="center"/>
      <protection hidden="1"/>
    </xf>
    <xf numFmtId="0" fontId="13" fillId="5" borderId="16" xfId="1" applyFont="1" applyFill="1" applyBorder="1" applyAlignment="1" applyProtection="1">
      <alignment horizontal="center" vertical="center" wrapText="1"/>
      <protection hidden="1"/>
    </xf>
    <xf numFmtId="37" fontId="14" fillId="3" borderId="14" xfId="1" applyNumberFormat="1" applyFont="1" applyFill="1" applyBorder="1" applyAlignment="1" applyProtection="1">
      <alignment horizontal="center" vertical="center"/>
      <protection hidden="1"/>
    </xf>
    <xf numFmtId="3" fontId="15" fillId="5" borderId="14" xfId="1" applyNumberFormat="1" applyFont="1" applyFill="1" applyBorder="1" applyAlignment="1" applyProtection="1">
      <alignment vertical="center"/>
      <protection hidden="1"/>
    </xf>
    <xf numFmtId="0" fontId="12" fillId="5" borderId="3" xfId="1" applyFont="1" applyFill="1" applyBorder="1" applyAlignment="1" applyProtection="1">
      <alignment horizontal="center"/>
      <protection locked="0"/>
    </xf>
    <xf numFmtId="0" fontId="12" fillId="5" borderId="4" xfId="1" applyFont="1" applyFill="1" applyBorder="1" applyAlignment="1" applyProtection="1">
      <alignment horizontal="center"/>
      <protection locked="0"/>
    </xf>
    <xf numFmtId="0" fontId="12" fillId="5" borderId="5" xfId="1" applyFont="1" applyFill="1" applyBorder="1" applyAlignment="1" applyProtection="1">
      <alignment horizontal="center"/>
      <protection locked="0"/>
    </xf>
    <xf numFmtId="0" fontId="12" fillId="0" borderId="14" xfId="1" applyFont="1" applyFill="1" applyBorder="1" applyAlignment="1" applyProtection="1">
      <alignment horizontal="center" vertical="center"/>
      <protection hidden="1"/>
    </xf>
    <xf numFmtId="0" fontId="18" fillId="0" borderId="14" xfId="1" applyFont="1" applyFill="1" applyBorder="1" applyAlignment="1" applyProtection="1">
      <alignment horizontal="center" vertical="center" wrapText="1"/>
      <protection hidden="1"/>
    </xf>
    <xf numFmtId="0" fontId="18" fillId="0" borderId="14" xfId="1" applyFont="1" applyFill="1" applyBorder="1" applyAlignment="1" applyProtection="1">
      <alignment horizontal="center" vertical="center"/>
      <protection hidden="1"/>
    </xf>
    <xf numFmtId="0" fontId="36" fillId="14" borderId="20" xfId="0" applyFont="1" applyFill="1" applyBorder="1" applyAlignment="1">
      <alignment horizontal="center" vertical="center" wrapText="1"/>
    </xf>
    <xf numFmtId="0" fontId="32" fillId="16" borderId="20" xfId="0" applyFont="1" applyFill="1" applyBorder="1" applyAlignment="1">
      <alignment horizontal="center" vertical="center" wrapText="1"/>
    </xf>
  </cellXfs>
  <cellStyles count="7">
    <cellStyle name="=C:\WINNT\SYSTEM32\COMMAND.COM" xfId="1"/>
    <cellStyle name="=C:\WINNT\SYSTEM32\COMMAND.COM 3" xfId="5"/>
    <cellStyle name="Comma" xfId="2" builtinId="3"/>
    <cellStyle name="Currency" xfId="3" builtinId="4"/>
    <cellStyle name="Normal" xfId="0" builtinId="0"/>
    <cellStyle name="Normal 7" xfId="6"/>
    <cellStyle name="Percent" xfId="4" builtinId="5"/>
  </cellStyles>
  <dxfs count="2">
    <dxf>
      <fill>
        <patternFill patternType="lightHorizontal"/>
      </fill>
    </dxf>
    <dxf>
      <fill>
        <patternFill patternType="lightHorizontal"/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263801</xdr:colOff>
      <xdr:row>0</xdr:row>
      <xdr:rowOff>171450</xdr:rowOff>
    </xdr:from>
    <xdr:to>
      <xdr:col>14</xdr:col>
      <xdr:colOff>9526</xdr:colOff>
      <xdr:row>1</xdr:row>
      <xdr:rowOff>363363</xdr:rowOff>
    </xdr:to>
    <xdr:pic>
      <xdr:nvPicPr>
        <xdr:cNvPr id="4" name="Picture 3" descr="https://av.sc.com/pk/content/images/pk-img-roshan-apni-car-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726" y="171450"/>
          <a:ext cx="1488800" cy="6681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342900</xdr:colOff>
      <xdr:row>0</xdr:row>
      <xdr:rowOff>24723</xdr:rowOff>
    </xdr:from>
    <xdr:to>
      <xdr:col>3</xdr:col>
      <xdr:colOff>1171576</xdr:colOff>
      <xdr:row>2</xdr:row>
      <xdr:rowOff>38100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00200" y="24723"/>
          <a:ext cx="828676" cy="8992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AA67"/>
  <sheetViews>
    <sheetView showGridLines="0" tabSelected="1" zoomScale="85" zoomScaleNormal="85" workbookViewId="0">
      <selection activeCell="I35" sqref="I35:J35"/>
    </sheetView>
  </sheetViews>
  <sheetFormatPr defaultColWidth="0" defaultRowHeight="15" zeroHeight="1" x14ac:dyDescent="0.3"/>
  <cols>
    <col min="1" max="1" width="3.140625" style="18" customWidth="1"/>
    <col min="2" max="2" width="15.7109375" style="18" customWidth="1"/>
    <col min="3" max="3" width="8.85546875" style="18" hidden="1" customWidth="1"/>
    <col min="4" max="4" width="27.7109375" style="18" customWidth="1"/>
    <col min="5" max="5" width="7.140625" style="18" customWidth="1"/>
    <col min="6" max="6" width="6.85546875" style="18" customWidth="1"/>
    <col min="7" max="7" width="9.5703125" style="18" customWidth="1"/>
    <col min="8" max="8" width="8.85546875" style="18" customWidth="1"/>
    <col min="9" max="9" width="6.85546875" style="18" customWidth="1"/>
    <col min="10" max="10" width="11" style="18" customWidth="1"/>
    <col min="11" max="11" width="8.42578125" style="18" customWidth="1"/>
    <col min="12" max="12" width="26.140625" style="18" customWidth="1"/>
    <col min="13" max="14" width="0.5703125" style="18" hidden="1" customWidth="1"/>
    <col min="15" max="15" width="8.42578125" style="18" customWidth="1"/>
    <col min="16" max="16" width="6.85546875" style="18" customWidth="1"/>
    <col min="17" max="17" width="9.140625" style="18" hidden="1" customWidth="1"/>
    <col min="18" max="18" width="15.85546875" style="18" hidden="1" customWidth="1"/>
    <col min="19" max="19" width="9.140625" style="18" hidden="1" customWidth="1"/>
    <col min="20" max="20" width="11.85546875" style="18" hidden="1" customWidth="1"/>
    <col min="21" max="21" width="11.28515625" style="18" hidden="1" customWidth="1"/>
    <col min="22" max="26" width="12.140625" style="18" hidden="1" customWidth="1"/>
    <col min="27" max="16384" width="9.140625" style="18" hidden="1"/>
  </cols>
  <sheetData>
    <row r="1" spans="2:27" ht="37.5" customHeight="1" x14ac:dyDescent="0.35">
      <c r="D1" s="166"/>
      <c r="E1" s="166"/>
      <c r="F1" s="166"/>
      <c r="G1" s="166"/>
      <c r="H1" s="166"/>
      <c r="I1" s="166"/>
      <c r="J1" s="166"/>
      <c r="K1" s="166"/>
      <c r="L1" s="166"/>
      <c r="M1" s="100"/>
      <c r="N1" s="100"/>
      <c r="O1" s="53">
        <f ca="1">TODAY()</f>
        <v>44313</v>
      </c>
      <c r="P1" s="53">
        <f ca="1">TODAY()</f>
        <v>44313</v>
      </c>
      <c r="Q1" s="54">
        <f ca="1">(DAY(DATE(YEAR(P1),MONTH(P1)+1,1)-1))-DAY(P1)+2</f>
        <v>5</v>
      </c>
    </row>
    <row r="2" spans="2:27" ht="32.25" customHeight="1" x14ac:dyDescent="0.35">
      <c r="D2" s="159" t="s">
        <v>192</v>
      </c>
      <c r="E2" s="159"/>
      <c r="F2" s="159"/>
      <c r="G2" s="159"/>
      <c r="H2" s="159"/>
      <c r="I2" s="159"/>
      <c r="J2" s="159"/>
      <c r="K2" s="159"/>
      <c r="L2" s="159"/>
      <c r="M2" s="100"/>
      <c r="N2" s="100"/>
      <c r="O2" s="53">
        <f ca="1">TODAY()</f>
        <v>44313</v>
      </c>
      <c r="P2" s="53">
        <f ca="1">TODAY()</f>
        <v>44313</v>
      </c>
      <c r="Q2" s="54">
        <f ca="1">(DAY(DATE(YEAR(P2),MONTH(P2)+1,1)-1))-DAY(P2)+2</f>
        <v>5</v>
      </c>
    </row>
    <row r="3" spans="2:27" ht="6.75" customHeight="1" x14ac:dyDescent="0.35">
      <c r="B3" s="51"/>
      <c r="C3" s="98"/>
      <c r="D3" s="52"/>
      <c r="E3" s="52"/>
      <c r="F3" s="52"/>
      <c r="G3" s="52"/>
      <c r="H3" s="52"/>
      <c r="I3" s="52"/>
      <c r="J3" s="52"/>
      <c r="K3" s="52"/>
      <c r="L3" s="52"/>
      <c r="M3" s="52"/>
      <c r="N3" s="99"/>
    </row>
    <row r="4" spans="2:27" ht="22.5" hidden="1" customHeight="1" thickTop="1" x14ac:dyDescent="0.3">
      <c r="B4" s="33"/>
      <c r="C4" s="33"/>
      <c r="D4" s="103" t="s">
        <v>23</v>
      </c>
      <c r="E4" s="170" t="s">
        <v>37</v>
      </c>
      <c r="F4" s="171"/>
      <c r="G4" s="171"/>
      <c r="H4" s="171"/>
      <c r="I4" s="171"/>
      <c r="J4" s="171"/>
      <c r="K4" s="171"/>
      <c r="L4" s="172"/>
      <c r="M4" s="35"/>
      <c r="N4" s="35"/>
    </row>
    <row r="5" spans="2:27" ht="22.5" customHeight="1" x14ac:dyDescent="0.3">
      <c r="B5" s="33"/>
      <c r="C5" s="33"/>
      <c r="D5" s="119" t="s">
        <v>24</v>
      </c>
      <c r="E5" s="173" t="str">
        <f>VLOOKUP(E6,Sheet2!E:I,5,0)</f>
        <v>REGAL AUTOMOBILES INDUSTRIES</v>
      </c>
      <c r="F5" s="173"/>
      <c r="G5" s="173"/>
      <c r="H5" s="173"/>
      <c r="I5" s="173"/>
      <c r="J5" s="173"/>
      <c r="K5" s="173"/>
      <c r="L5" s="173"/>
      <c r="M5" s="35"/>
      <c r="N5" s="35"/>
      <c r="S5" s="23"/>
      <c r="T5" s="21"/>
      <c r="U5" s="21"/>
      <c r="V5" s="21"/>
      <c r="W5" s="21"/>
      <c r="X5" s="21"/>
      <c r="Y5" s="56"/>
      <c r="Z5" s="21"/>
      <c r="AA5" s="19"/>
    </row>
    <row r="6" spans="2:27" ht="22.5" customHeight="1" x14ac:dyDescent="0.3">
      <c r="B6" s="33"/>
      <c r="C6" s="33"/>
      <c r="D6" s="119" t="s">
        <v>25</v>
      </c>
      <c r="E6" s="158" t="s">
        <v>179</v>
      </c>
      <c r="F6" s="158"/>
      <c r="G6" s="158"/>
      <c r="H6" s="158"/>
      <c r="I6" s="158"/>
      <c r="J6" s="158"/>
      <c r="K6" s="158"/>
      <c r="L6" s="158"/>
      <c r="M6" s="35"/>
      <c r="N6" s="35"/>
      <c r="S6" s="24"/>
      <c r="T6" s="25"/>
      <c r="U6" s="25"/>
      <c r="V6" s="25"/>
      <c r="W6" s="25"/>
      <c r="X6" s="25"/>
      <c r="Y6" s="25"/>
      <c r="Z6" s="25"/>
      <c r="AA6" s="19"/>
    </row>
    <row r="7" spans="2:27" ht="22.5" customHeight="1" x14ac:dyDescent="0.3">
      <c r="B7" s="33"/>
      <c r="C7" s="33"/>
      <c r="D7" s="119" t="s">
        <v>39</v>
      </c>
      <c r="E7" s="158" t="s">
        <v>41</v>
      </c>
      <c r="F7" s="158"/>
      <c r="G7" s="158"/>
      <c r="H7" s="158"/>
      <c r="I7" s="158"/>
      <c r="J7" s="158"/>
      <c r="K7" s="158"/>
      <c r="L7" s="158"/>
      <c r="M7" s="35"/>
      <c r="N7" s="35"/>
      <c r="S7" s="26"/>
      <c r="T7" s="25"/>
      <c r="U7" s="25"/>
      <c r="V7" s="25"/>
      <c r="W7" s="25"/>
      <c r="X7" s="25"/>
      <c r="Y7" s="57" t="s">
        <v>41</v>
      </c>
      <c r="Z7" s="25"/>
      <c r="AA7" s="19"/>
    </row>
    <row r="8" spans="2:27" ht="22.5" customHeight="1" x14ac:dyDescent="0.3">
      <c r="B8" s="33"/>
      <c r="C8" s="33"/>
      <c r="D8" s="119" t="s">
        <v>247</v>
      </c>
      <c r="E8" s="162">
        <f>VLOOKUP(E6,Sheet2!E:F,2,0)</f>
        <v>1149000</v>
      </c>
      <c r="F8" s="162"/>
      <c r="G8" s="162"/>
      <c r="H8" s="162"/>
      <c r="I8" s="162"/>
      <c r="J8" s="162"/>
      <c r="K8" s="162"/>
      <c r="L8" s="162"/>
      <c r="M8" s="35"/>
      <c r="N8" s="35"/>
      <c r="S8" s="24"/>
      <c r="T8" s="25"/>
      <c r="U8" s="25"/>
      <c r="V8" s="25"/>
      <c r="W8" s="25"/>
      <c r="X8" s="25"/>
      <c r="Y8" s="57" t="s">
        <v>40</v>
      </c>
      <c r="Z8" s="25"/>
      <c r="AA8" s="19"/>
    </row>
    <row r="9" spans="2:27" ht="22.5" customHeight="1" x14ac:dyDescent="0.3">
      <c r="B9" s="33"/>
      <c r="C9" s="33"/>
      <c r="D9" s="119" t="s">
        <v>248</v>
      </c>
      <c r="E9" s="162">
        <v>2000000</v>
      </c>
      <c r="F9" s="162"/>
      <c r="G9" s="162"/>
      <c r="H9" s="162"/>
      <c r="I9" s="162"/>
      <c r="J9" s="162"/>
      <c r="K9" s="162"/>
      <c r="L9" s="162"/>
      <c r="M9" s="35"/>
      <c r="N9" s="35"/>
      <c r="S9" s="24"/>
      <c r="T9" s="25"/>
      <c r="U9" s="25"/>
      <c r="V9" s="25"/>
      <c r="W9" s="25"/>
      <c r="X9" s="25"/>
      <c r="Y9" s="57"/>
      <c r="Z9" s="25"/>
      <c r="AA9" s="19"/>
    </row>
    <row r="10" spans="2:27" ht="22.5" customHeight="1" x14ac:dyDescent="0.3">
      <c r="B10" s="33"/>
      <c r="C10" s="33"/>
      <c r="D10" s="119" t="s">
        <v>249</v>
      </c>
      <c r="E10" s="163">
        <f>IF(E7="New",E8*J19,E9*J19)</f>
        <v>17235</v>
      </c>
      <c r="F10" s="164"/>
      <c r="G10" s="164"/>
      <c r="H10" s="164"/>
      <c r="I10" s="164"/>
      <c r="J10" s="164"/>
      <c r="K10" s="164"/>
      <c r="L10" s="164"/>
      <c r="M10" s="35"/>
      <c r="N10" s="35"/>
      <c r="S10" s="19"/>
      <c r="T10" s="19"/>
      <c r="U10" s="19"/>
      <c r="V10" s="19"/>
      <c r="W10" s="19"/>
      <c r="X10" s="19"/>
      <c r="Y10" s="19"/>
      <c r="Z10" s="19"/>
      <c r="AA10" s="19"/>
    </row>
    <row r="11" spans="2:27" ht="22.5" hidden="1" customHeight="1" x14ac:dyDescent="0.3">
      <c r="B11" s="33"/>
      <c r="C11" s="33"/>
      <c r="D11" s="119" t="s">
        <v>26</v>
      </c>
      <c r="E11" s="104"/>
      <c r="F11" s="164" t="s">
        <v>27</v>
      </c>
      <c r="G11" s="164"/>
      <c r="H11" s="164"/>
      <c r="I11" s="164"/>
      <c r="J11" s="164"/>
      <c r="K11" s="164"/>
      <c r="L11" s="164"/>
      <c r="M11" s="35"/>
      <c r="N11" s="35"/>
      <c r="S11" s="23"/>
      <c r="T11" s="21"/>
      <c r="U11" s="21"/>
      <c r="V11" s="21"/>
      <c r="W11" s="21"/>
      <c r="X11" s="21"/>
      <c r="Y11" s="21"/>
      <c r="Z11" s="21"/>
      <c r="AA11" s="19"/>
    </row>
    <row r="12" spans="2:27" ht="22.5" customHeight="1" x14ac:dyDescent="0.3">
      <c r="B12" s="33"/>
      <c r="C12" s="33"/>
      <c r="D12" s="119" t="s">
        <v>250</v>
      </c>
      <c r="E12" s="165">
        <f>IF(E7="New",E8,E9)</f>
        <v>1149000</v>
      </c>
      <c r="F12" s="165"/>
      <c r="G12" s="165"/>
      <c r="H12" s="165"/>
      <c r="I12" s="165"/>
      <c r="J12" s="165"/>
      <c r="K12" s="165"/>
      <c r="L12" s="165"/>
      <c r="M12" s="35"/>
      <c r="N12" s="35"/>
      <c r="R12"/>
      <c r="S12" s="24"/>
      <c r="T12" s="27"/>
      <c r="U12" s="27"/>
      <c r="V12" s="27"/>
      <c r="W12" s="27"/>
      <c r="X12" s="27"/>
      <c r="Y12" s="27"/>
      <c r="Z12" s="27"/>
      <c r="AA12" s="19"/>
    </row>
    <row r="13" spans="2:27" ht="22.5" customHeight="1" x14ac:dyDescent="0.3">
      <c r="B13" s="33"/>
      <c r="C13" s="33"/>
      <c r="D13" s="119" t="s">
        <v>36</v>
      </c>
      <c r="E13" s="160">
        <v>0.15</v>
      </c>
      <c r="F13" s="160"/>
      <c r="G13" s="160"/>
      <c r="H13" s="141" t="s">
        <v>35</v>
      </c>
      <c r="I13" s="143"/>
      <c r="J13" s="161">
        <f>100%-E13</f>
        <v>0.85</v>
      </c>
      <c r="K13" s="161"/>
      <c r="L13" s="161"/>
      <c r="M13" s="35"/>
      <c r="N13" s="35"/>
      <c r="S13" s="26"/>
      <c r="T13" s="27"/>
      <c r="U13" s="27"/>
      <c r="V13" s="27"/>
      <c r="W13" s="27"/>
      <c r="X13" s="27"/>
      <c r="Y13" s="27"/>
      <c r="Z13" s="27"/>
      <c r="AA13" s="19"/>
    </row>
    <row r="14" spans="2:27" ht="22.5" customHeight="1" x14ac:dyDescent="0.3">
      <c r="B14" s="33"/>
      <c r="C14" s="33"/>
      <c r="D14" s="119" t="s">
        <v>32</v>
      </c>
      <c r="E14" s="158">
        <v>6</v>
      </c>
      <c r="F14" s="158"/>
      <c r="G14" s="158"/>
      <c r="H14" s="158"/>
      <c r="I14" s="158"/>
      <c r="J14" s="158"/>
      <c r="K14" s="158"/>
      <c r="L14" s="158"/>
      <c r="M14" s="35"/>
      <c r="N14" s="35"/>
      <c r="S14" s="24"/>
      <c r="T14" s="27"/>
      <c r="U14" s="27"/>
      <c r="V14" s="27"/>
      <c r="W14" s="27"/>
      <c r="X14" s="27"/>
      <c r="Y14" s="27"/>
      <c r="Z14" s="27"/>
      <c r="AA14" s="19"/>
    </row>
    <row r="15" spans="2:27" ht="6" customHeight="1" x14ac:dyDescent="0.3">
      <c r="D15" s="20"/>
      <c r="S15" s="19"/>
      <c r="T15" s="19"/>
      <c r="U15" s="19"/>
      <c r="V15" s="19"/>
      <c r="W15" s="19"/>
      <c r="X15" s="19"/>
      <c r="Y15" s="19"/>
      <c r="Z15" s="19"/>
      <c r="AA15" s="19"/>
    </row>
    <row r="16" spans="2:27" ht="22.5" customHeight="1" x14ac:dyDescent="0.3">
      <c r="D16" s="174" t="s">
        <v>234</v>
      </c>
      <c r="E16" s="139" t="s">
        <v>230</v>
      </c>
      <c r="F16" s="139"/>
      <c r="G16" s="139"/>
      <c r="H16" s="139"/>
      <c r="I16" s="139"/>
      <c r="J16" s="156" t="s">
        <v>256</v>
      </c>
      <c r="K16" s="157"/>
      <c r="L16" s="157"/>
      <c r="M16" s="157"/>
      <c r="N16" s="120"/>
      <c r="O16" s="105"/>
      <c r="S16" s="19"/>
      <c r="T16" s="21"/>
      <c r="U16" s="21"/>
      <c r="V16" s="21"/>
      <c r="W16" s="21"/>
      <c r="X16" s="21"/>
      <c r="Y16" s="21"/>
      <c r="Z16" s="21"/>
      <c r="AA16" s="19"/>
    </row>
    <row r="17" spans="2:27" ht="22.5" customHeight="1" x14ac:dyDescent="0.3">
      <c r="D17" s="175"/>
      <c r="E17" s="139" t="s">
        <v>231</v>
      </c>
      <c r="F17" s="139"/>
      <c r="G17" s="139"/>
      <c r="H17" s="139"/>
      <c r="I17" s="139"/>
      <c r="J17" s="155" t="str">
        <f>VLOOKUP(J16,Sheet2!N22:P37,2,0)</f>
        <v>No</v>
      </c>
      <c r="K17" s="155"/>
      <c r="L17" s="155"/>
      <c r="M17" s="121"/>
      <c r="N17" s="122"/>
      <c r="O17" s="105"/>
      <c r="S17" s="19"/>
      <c r="T17" s="21"/>
      <c r="U17" s="21"/>
      <c r="V17" s="21"/>
      <c r="W17" s="21"/>
      <c r="X17" s="21"/>
      <c r="Y17" s="21"/>
      <c r="Z17" s="21"/>
      <c r="AA17" s="19"/>
    </row>
    <row r="18" spans="2:27" ht="22.5" customHeight="1" x14ac:dyDescent="0.3">
      <c r="D18" s="175"/>
      <c r="E18" s="139" t="s">
        <v>232</v>
      </c>
      <c r="F18" s="139"/>
      <c r="G18" s="139"/>
      <c r="H18" s="139"/>
      <c r="I18" s="139"/>
      <c r="J18" s="155" t="str">
        <f>VLOOKUP(J16,Sheet2!N22:P37,3,0)</f>
        <v>Yes</v>
      </c>
      <c r="K18" s="155"/>
      <c r="L18" s="155"/>
      <c r="M18" s="123"/>
      <c r="N18" s="124"/>
      <c r="O18" s="105"/>
      <c r="S18" s="19"/>
      <c r="T18" s="21"/>
      <c r="U18" s="21"/>
      <c r="V18" s="21"/>
      <c r="W18" s="21"/>
      <c r="X18" s="21"/>
      <c r="Y18" s="21"/>
      <c r="Z18" s="21"/>
      <c r="AA18" s="19"/>
    </row>
    <row r="19" spans="2:27" ht="22.5" customHeight="1" x14ac:dyDescent="0.3">
      <c r="D19" s="175"/>
      <c r="E19" s="139" t="s">
        <v>233</v>
      </c>
      <c r="F19" s="139"/>
      <c r="G19" s="139"/>
      <c r="H19" s="139"/>
      <c r="I19" s="139"/>
      <c r="J19" s="140">
        <f>VLOOKUP(J16,Sheet2!$N$22:$Q$37,4,0)</f>
        <v>1.4999999999999999E-2</v>
      </c>
      <c r="K19" s="140"/>
      <c r="L19" s="140"/>
      <c r="M19" s="140"/>
      <c r="N19" s="101"/>
      <c r="O19" s="105"/>
      <c r="S19" s="19"/>
      <c r="T19" s="22"/>
      <c r="U19" s="22"/>
      <c r="V19" s="22"/>
      <c r="W19" s="22"/>
      <c r="X19" s="22"/>
      <c r="Y19" s="22"/>
      <c r="Z19" s="22"/>
      <c r="AA19" s="19"/>
    </row>
    <row r="20" spans="2:27" ht="6" customHeight="1" thickBot="1" x14ac:dyDescent="0.35">
      <c r="D20" s="39"/>
      <c r="E20" s="49"/>
      <c r="F20" s="49"/>
      <c r="G20" s="50"/>
      <c r="H20" s="50"/>
      <c r="I20" s="35"/>
      <c r="J20" s="49"/>
      <c r="K20" s="50"/>
      <c r="L20" s="50"/>
      <c r="M20" s="47"/>
      <c r="N20" s="102"/>
      <c r="S20" s="19"/>
      <c r="T20" s="19"/>
      <c r="U20" s="19"/>
      <c r="V20" s="19"/>
      <c r="W20" s="19"/>
      <c r="X20" s="19"/>
      <c r="Y20" s="19"/>
      <c r="Z20" s="19"/>
      <c r="AA20" s="19"/>
    </row>
    <row r="21" spans="2:27" ht="22.5" customHeight="1" x14ac:dyDescent="0.3">
      <c r="D21" s="141" t="s">
        <v>235</v>
      </c>
      <c r="E21" s="142"/>
      <c r="F21" s="142"/>
      <c r="G21" s="142"/>
      <c r="H21" s="142"/>
      <c r="I21" s="143"/>
      <c r="J21" s="136">
        <f>IF(E7="New",E8*E13,E9*E13)</f>
        <v>172350</v>
      </c>
      <c r="K21" s="136"/>
      <c r="L21" s="136"/>
      <c r="M21" s="35"/>
      <c r="N21" s="35"/>
    </row>
    <row r="22" spans="2:27" ht="22.5" customHeight="1" x14ac:dyDescent="0.3">
      <c r="D22" s="141" t="s">
        <v>236</v>
      </c>
      <c r="E22" s="142"/>
      <c r="F22" s="142"/>
      <c r="G22" s="142"/>
      <c r="H22" s="142"/>
      <c r="I22" s="143"/>
      <c r="J22" s="136">
        <f>IF(E7="New",E8*J13,E9*J13)</f>
        <v>976650</v>
      </c>
      <c r="K22" s="136"/>
      <c r="L22" s="136"/>
      <c r="M22" s="35"/>
      <c r="N22" s="35"/>
    </row>
    <row r="23" spans="2:27" ht="22.5" customHeight="1" x14ac:dyDescent="0.3">
      <c r="D23" s="167" t="s">
        <v>239</v>
      </c>
      <c r="E23" s="142"/>
      <c r="F23" s="142"/>
      <c r="G23" s="142"/>
      <c r="H23" s="142"/>
      <c r="I23" s="143"/>
      <c r="J23" s="136">
        <f>E10</f>
        <v>17235</v>
      </c>
      <c r="K23" s="136"/>
      <c r="L23" s="136"/>
      <c r="M23" s="35"/>
      <c r="N23" s="35"/>
      <c r="Q23" s="93"/>
      <c r="R23" s="93"/>
    </row>
    <row r="24" spans="2:27" ht="27" hidden="1" customHeight="1" x14ac:dyDescent="0.3">
      <c r="B24" s="32"/>
      <c r="C24" s="32"/>
      <c r="D24" s="106" t="s">
        <v>28</v>
      </c>
      <c r="E24" s="107"/>
      <c r="F24" s="107"/>
      <c r="G24" s="107"/>
      <c r="H24" s="107"/>
      <c r="I24" s="107"/>
      <c r="J24" s="168">
        <f>PMT(K44/12,E14*12,-J22)</f>
        <v>17726.065000645947</v>
      </c>
      <c r="K24" s="168"/>
      <c r="L24" s="168"/>
      <c r="M24" s="35"/>
      <c r="N24" s="35"/>
      <c r="Q24" s="93"/>
      <c r="R24" s="93"/>
    </row>
    <row r="25" spans="2:27" ht="27" hidden="1" customHeight="1" x14ac:dyDescent="0.3">
      <c r="B25" s="32"/>
      <c r="C25" s="32"/>
      <c r="D25" s="106" t="s">
        <v>29</v>
      </c>
      <c r="E25" s="169">
        <v>0</v>
      </c>
      <c r="F25" s="169"/>
      <c r="G25" s="169"/>
      <c r="H25" s="107"/>
      <c r="I25" s="107"/>
      <c r="J25" s="137"/>
      <c r="K25" s="138"/>
      <c r="L25" s="138"/>
      <c r="M25" s="97"/>
      <c r="N25" s="97"/>
      <c r="Q25" s="93"/>
      <c r="R25" s="93"/>
    </row>
    <row r="26" spans="2:27" ht="22.5" customHeight="1" x14ac:dyDescent="0.35">
      <c r="D26" s="141" t="s">
        <v>237</v>
      </c>
      <c r="E26" s="142"/>
      <c r="F26" s="142"/>
      <c r="G26" s="142"/>
      <c r="H26" s="142"/>
      <c r="I26" s="143"/>
      <c r="J26" s="136">
        <f>IF(J22&gt;1000000,8500,7500)</f>
        <v>7500</v>
      </c>
      <c r="K26" s="136"/>
      <c r="L26" s="136"/>
      <c r="M26" s="35"/>
      <c r="N26" s="35"/>
      <c r="O26" s="55"/>
      <c r="P26" s="55"/>
      <c r="Q26" s="94">
        <f>J26+J27</f>
        <v>8625</v>
      </c>
      <c r="R26" s="93"/>
    </row>
    <row r="27" spans="2:27" ht="22.5" customHeight="1" x14ac:dyDescent="0.3">
      <c r="D27" s="141" t="s">
        <v>238</v>
      </c>
      <c r="E27" s="142"/>
      <c r="F27" s="142"/>
      <c r="G27" s="142"/>
      <c r="H27" s="142"/>
      <c r="I27" s="143"/>
      <c r="J27" s="136">
        <f>J26*J28*100</f>
        <v>1125</v>
      </c>
      <c r="K27" s="136"/>
      <c r="L27" s="136"/>
      <c r="M27" s="35"/>
      <c r="N27" s="35"/>
      <c r="Q27" s="93"/>
      <c r="R27" s="93"/>
    </row>
    <row r="28" spans="2:27" ht="22.5" customHeight="1" x14ac:dyDescent="0.3">
      <c r="D28" s="41"/>
      <c r="E28" s="40"/>
      <c r="F28" s="40"/>
      <c r="G28" s="40"/>
      <c r="H28" s="40"/>
      <c r="I28" s="42" t="s">
        <v>30</v>
      </c>
      <c r="J28" s="135">
        <v>1.5E-3</v>
      </c>
      <c r="K28" s="135"/>
      <c r="L28" s="135"/>
      <c r="M28" s="35"/>
      <c r="N28" s="35"/>
      <c r="Q28" s="93"/>
      <c r="R28" s="93"/>
    </row>
    <row r="29" spans="2:27" ht="6.75" customHeight="1" x14ac:dyDescent="0.3">
      <c r="D29" s="43"/>
      <c r="E29" s="33"/>
      <c r="F29" s="33"/>
      <c r="G29" s="33"/>
      <c r="H29" s="33"/>
      <c r="I29" s="44"/>
      <c r="J29" s="33"/>
      <c r="K29" s="33"/>
      <c r="L29" s="33"/>
      <c r="M29" s="35"/>
      <c r="N29" s="35"/>
    </row>
    <row r="30" spans="2:27" ht="22.5" customHeight="1" x14ac:dyDescent="0.3">
      <c r="B30" s="33"/>
      <c r="C30" s="33"/>
      <c r="D30" s="141" t="s">
        <v>240</v>
      </c>
      <c r="E30" s="142"/>
      <c r="F30" s="142"/>
      <c r="G30" s="142"/>
      <c r="H30" s="142"/>
      <c r="I30" s="143"/>
      <c r="J30" s="144">
        <f>J21+J23+J26+J27</f>
        <v>198210</v>
      </c>
      <c r="K30" s="145"/>
      <c r="L30" s="146"/>
      <c r="M30" s="35"/>
      <c r="N30" s="35"/>
    </row>
    <row r="31" spans="2:27" ht="7.5" customHeight="1" x14ac:dyDescent="0.35">
      <c r="B31" s="44"/>
      <c r="C31" s="44"/>
      <c r="D31" s="118"/>
      <c r="E31" s="36"/>
      <c r="F31" s="48"/>
      <c r="G31" s="48"/>
      <c r="H31" s="45"/>
      <c r="I31" s="147"/>
      <c r="J31" s="147"/>
      <c r="K31" s="37"/>
      <c r="L31" s="38"/>
      <c r="M31" s="34" t="str">
        <f t="shared" ref="M31" si="0">IF(F31=0,"ONLY EMI","")</f>
        <v>ONLY EMI</v>
      </c>
      <c r="N31" s="34"/>
      <c r="O31" s="30"/>
      <c r="P31" s="30"/>
      <c r="Q31" s="31">
        <v>0.75</v>
      </c>
    </row>
    <row r="32" spans="2:27" ht="22.5" customHeight="1" x14ac:dyDescent="0.3">
      <c r="B32" s="148" t="s">
        <v>241</v>
      </c>
      <c r="C32" s="148"/>
      <c r="D32" s="148"/>
      <c r="E32" s="148"/>
      <c r="F32" s="148"/>
      <c r="G32" s="148"/>
      <c r="H32" s="148"/>
      <c r="I32" s="148"/>
      <c r="J32" s="148"/>
      <c r="K32" s="148"/>
      <c r="L32" s="148"/>
      <c r="M32" s="148"/>
      <c r="N32" s="148"/>
      <c r="O32" s="148"/>
    </row>
    <row r="33" spans="2:17" ht="15.75" customHeight="1" x14ac:dyDescent="0.3">
      <c r="B33" s="108" t="s">
        <v>34</v>
      </c>
      <c r="C33" s="108"/>
      <c r="D33" s="108" t="s">
        <v>246</v>
      </c>
      <c r="E33" s="132" t="s">
        <v>244</v>
      </c>
      <c r="F33" s="133"/>
      <c r="G33" s="134"/>
      <c r="H33" s="132" t="s">
        <v>245</v>
      </c>
      <c r="I33" s="133"/>
      <c r="J33" s="134"/>
      <c r="K33" s="115"/>
      <c r="L33" s="109" t="s">
        <v>243</v>
      </c>
      <c r="M33" s="33"/>
      <c r="N33" s="33"/>
      <c r="O33" s="105"/>
    </row>
    <row r="34" spans="2:17" ht="21.95" customHeight="1" x14ac:dyDescent="0.35">
      <c r="B34" s="110">
        <f>IF($E$14&gt;=1,1,"")</f>
        <v>1</v>
      </c>
      <c r="C34" s="110"/>
      <c r="D34" s="117">
        <f>IF(B34&lt;=$E$14,$J$24,"")</f>
        <v>17726.065000645947</v>
      </c>
      <c r="E34" s="111"/>
      <c r="F34" s="112">
        <f>IF(B34&lt;&gt;"",IF(B34&lt;$E$14,($E$8*L34)*$J$19/12,0),"")</f>
        <v>1292.625</v>
      </c>
      <c r="G34" s="112"/>
      <c r="H34" s="113" t="str">
        <f>IF(B34&lt;&gt;"","=","")</f>
        <v>=</v>
      </c>
      <c r="I34" s="152">
        <f>IF(B34&lt;=$E$14,(D34+F34),"")</f>
        <v>19018.690000645947</v>
      </c>
      <c r="J34" s="152"/>
      <c r="K34" s="116" t="str">
        <f>IF(B34&lt;&gt;"","@","")</f>
        <v>@</v>
      </c>
      <c r="L34" s="114">
        <f t="shared" ref="L34:L40" si="1">IF(B34&lt;&gt;"",Q34,"")</f>
        <v>0.9</v>
      </c>
      <c r="M34" s="30"/>
      <c r="N34" s="30"/>
      <c r="O34" s="30"/>
      <c r="P34" s="30"/>
      <c r="Q34" s="31">
        <v>0.9</v>
      </c>
    </row>
    <row r="35" spans="2:17" ht="21.95" customHeight="1" x14ac:dyDescent="0.35">
      <c r="B35" s="110">
        <f>IF($E$14&gt;=2,2,"")</f>
        <v>2</v>
      </c>
      <c r="C35" s="110"/>
      <c r="D35" s="117">
        <f>IF(B35&lt;=$E$14,$J$24,"")</f>
        <v>17726.065000645947</v>
      </c>
      <c r="E35" s="111"/>
      <c r="F35" s="112">
        <f>IF(B35&lt;&gt;"",IF(B35&lt;$E$14,($E$8*L35)*$J$19/12,0),"")</f>
        <v>1220.8125</v>
      </c>
      <c r="G35" s="112"/>
      <c r="H35" s="113" t="str">
        <f>IF(B35&lt;&gt;"","=","")</f>
        <v>=</v>
      </c>
      <c r="I35" s="152">
        <f>IF(B35&lt;=$E$14,(D35+F35),"")</f>
        <v>18946.877500645947</v>
      </c>
      <c r="J35" s="152"/>
      <c r="K35" s="116" t="str">
        <f>IF(B35&lt;&gt;"","@","")</f>
        <v>@</v>
      </c>
      <c r="L35" s="114">
        <f t="shared" si="1"/>
        <v>0.85</v>
      </c>
      <c r="M35" s="34" t="str">
        <f t="shared" ref="M35:M38" si="2">IF(F35=0,"ONLY EMI","")</f>
        <v/>
      </c>
      <c r="N35" s="34"/>
      <c r="O35" s="30"/>
      <c r="P35" s="30"/>
      <c r="Q35" s="31">
        <v>0.85</v>
      </c>
    </row>
    <row r="36" spans="2:17" ht="21.95" customHeight="1" x14ac:dyDescent="0.35">
      <c r="B36" s="110">
        <f>IF($E$14&gt;=3,3,"")</f>
        <v>3</v>
      </c>
      <c r="C36" s="110"/>
      <c r="D36" s="117">
        <f>IF(B36&lt;=$E$14,$J$24,"")</f>
        <v>17726.065000645947</v>
      </c>
      <c r="E36" s="111"/>
      <c r="F36" s="112">
        <f>IF(B36&lt;&gt;"",IF(B36&lt;$E$14,($E$8*L36)*$J$19/12,0),"")</f>
        <v>1149</v>
      </c>
      <c r="G36" s="112"/>
      <c r="H36" s="113" t="str">
        <f>IF(B36&lt;&gt;"","=","")</f>
        <v>=</v>
      </c>
      <c r="I36" s="152">
        <f>IF(B36&lt;=$E$14,(D36+F36),"")</f>
        <v>18875.065000645947</v>
      </c>
      <c r="J36" s="152"/>
      <c r="K36" s="116" t="str">
        <f>IF(B36&lt;&gt;"","@","")</f>
        <v>@</v>
      </c>
      <c r="L36" s="114">
        <f t="shared" si="1"/>
        <v>0.8</v>
      </c>
      <c r="M36" s="34" t="str">
        <f t="shared" si="2"/>
        <v/>
      </c>
      <c r="N36" s="34"/>
      <c r="O36" s="30"/>
      <c r="P36" s="30"/>
      <c r="Q36" s="31">
        <v>0.8</v>
      </c>
    </row>
    <row r="37" spans="2:17" ht="21.95" customHeight="1" x14ac:dyDescent="0.35">
      <c r="B37" s="110">
        <f>IF($E$14&gt;=4,4,"")</f>
        <v>4</v>
      </c>
      <c r="C37" s="110"/>
      <c r="D37" s="117">
        <f>IF(B37&lt;=$E$14,$J$24,"")</f>
        <v>17726.065000645947</v>
      </c>
      <c r="E37" s="111"/>
      <c r="F37" s="112">
        <f>IF(B37&lt;&gt;"",IF(B37&lt;$E$14,($E$8*L37)*$J$19/12,0),"")</f>
        <v>1077.1875</v>
      </c>
      <c r="G37" s="112"/>
      <c r="H37" s="113" t="str">
        <f>IF(B37&lt;&gt;"","=","")</f>
        <v>=</v>
      </c>
      <c r="I37" s="152">
        <f>IF(B37&lt;=$E$14,(D37+F37),"")</f>
        <v>18803.252500645947</v>
      </c>
      <c r="J37" s="152"/>
      <c r="K37" s="116" t="str">
        <f>IF(B37&lt;&gt;"","@","")</f>
        <v>@</v>
      </c>
      <c r="L37" s="114">
        <f t="shared" si="1"/>
        <v>0.75</v>
      </c>
      <c r="M37" s="34" t="str">
        <f t="shared" si="2"/>
        <v/>
      </c>
      <c r="N37" s="34"/>
      <c r="O37" s="30"/>
      <c r="P37" s="30"/>
      <c r="Q37" s="31">
        <v>0.75</v>
      </c>
    </row>
    <row r="38" spans="2:17" ht="21.95" customHeight="1" x14ac:dyDescent="0.35">
      <c r="B38" s="110">
        <f>IF($E$14&gt;=5,5,"")</f>
        <v>5</v>
      </c>
      <c r="C38" s="110"/>
      <c r="D38" s="117">
        <f>IF(B38&lt;=$E$14,$J$24,"")</f>
        <v>17726.065000645947</v>
      </c>
      <c r="E38" s="111"/>
      <c r="F38" s="112">
        <f>IF(B38&lt;&gt;"",IF(B38&lt;$E$14,($E$8*L38)*$J$19/12,0),"")</f>
        <v>1005.375</v>
      </c>
      <c r="G38" s="112"/>
      <c r="H38" s="113" t="str">
        <f>IF(B38&lt;&gt;"","=","")</f>
        <v>=</v>
      </c>
      <c r="I38" s="152">
        <f>IF(B38&lt;=$E$14,(D38+F38),"")</f>
        <v>18731.440000645947</v>
      </c>
      <c r="J38" s="152"/>
      <c r="K38" s="116" t="str">
        <f>IF(B38&lt;&gt;"","@","")</f>
        <v>@</v>
      </c>
      <c r="L38" s="114">
        <f t="shared" si="1"/>
        <v>0.7</v>
      </c>
      <c r="M38" s="34" t="str">
        <f t="shared" si="2"/>
        <v/>
      </c>
      <c r="N38" s="34"/>
      <c r="O38" s="30"/>
      <c r="P38" s="30"/>
      <c r="Q38" s="31">
        <v>0.7</v>
      </c>
    </row>
    <row r="39" spans="2:17" ht="21.95" customHeight="1" x14ac:dyDescent="0.35">
      <c r="B39" s="110">
        <f>IF($E$14&gt;=6,6,"")</f>
        <v>6</v>
      </c>
      <c r="C39" s="110"/>
      <c r="D39" s="117">
        <f t="shared" ref="D39:D40" si="3">IF(B39&lt;=$E$14,$J$24,"")</f>
        <v>17726.065000645947</v>
      </c>
      <c r="E39" s="111"/>
      <c r="F39" s="112">
        <f t="shared" ref="F39:F40" si="4">IF(B39&lt;&gt;"",IF(B39&lt;$E$14,($E$8*L39)*$J$19/12,0),"")</f>
        <v>0</v>
      </c>
      <c r="G39" s="112"/>
      <c r="H39" s="113" t="str">
        <f t="shared" ref="H39:H40" si="5">IF(B39&lt;&gt;"","=","")</f>
        <v>=</v>
      </c>
      <c r="I39" s="152">
        <f t="shared" ref="I39:I40" si="6">IF(B39&lt;=$E$14,(D39+F39),"")</f>
        <v>17726.065000645947</v>
      </c>
      <c r="J39" s="152"/>
      <c r="K39" s="116" t="str">
        <f t="shared" ref="K39:K40" si="7">IF(B39&lt;&gt;"","@","")</f>
        <v>@</v>
      </c>
      <c r="L39" s="114">
        <f t="shared" si="1"/>
        <v>0.65</v>
      </c>
      <c r="M39" s="34"/>
      <c r="N39" s="34"/>
      <c r="O39" s="30"/>
      <c r="P39" s="30"/>
      <c r="Q39" s="31">
        <v>0.65</v>
      </c>
    </row>
    <row r="40" spans="2:17" ht="21.95" customHeight="1" x14ac:dyDescent="0.35">
      <c r="B40" s="110" t="str">
        <f>IF($E$14&gt;=7,7,"")</f>
        <v/>
      </c>
      <c r="C40" s="110"/>
      <c r="D40" s="117" t="str">
        <f t="shared" si="3"/>
        <v/>
      </c>
      <c r="E40" s="111"/>
      <c r="F40" s="112" t="str">
        <f t="shared" si="4"/>
        <v/>
      </c>
      <c r="G40" s="112"/>
      <c r="H40" s="113" t="str">
        <f t="shared" si="5"/>
        <v/>
      </c>
      <c r="I40" s="152" t="str">
        <f t="shared" si="6"/>
        <v/>
      </c>
      <c r="J40" s="152"/>
      <c r="K40" s="116" t="str">
        <f t="shared" si="7"/>
        <v/>
      </c>
      <c r="L40" s="114" t="str">
        <f t="shared" si="1"/>
        <v/>
      </c>
      <c r="M40" s="34"/>
      <c r="N40" s="34"/>
      <c r="O40" s="30"/>
      <c r="P40" s="30"/>
      <c r="Q40" s="31">
        <v>0.6</v>
      </c>
    </row>
    <row r="41" spans="2:17" x14ac:dyDescent="0.3">
      <c r="B41" s="34"/>
      <c r="C41" s="34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</row>
    <row r="42" spans="2:17" x14ac:dyDescent="0.3">
      <c r="B42" s="33"/>
      <c r="C42" s="33"/>
      <c r="D42" s="33"/>
      <c r="E42" s="33"/>
      <c r="F42" s="33"/>
      <c r="G42" s="33"/>
      <c r="H42" s="33"/>
      <c r="M42" s="33"/>
      <c r="N42" s="33"/>
    </row>
    <row r="43" spans="2:17" x14ac:dyDescent="0.3">
      <c r="B43" s="46" t="s">
        <v>33</v>
      </c>
      <c r="C43" s="46"/>
      <c r="D43" s="46"/>
      <c r="E43" s="35"/>
      <c r="F43" s="35"/>
      <c r="G43" s="33"/>
      <c r="H43" s="33"/>
      <c r="I43" s="154" t="s">
        <v>242</v>
      </c>
      <c r="J43" s="154"/>
      <c r="K43" s="153" t="s">
        <v>218</v>
      </c>
      <c r="L43" s="153"/>
      <c r="M43" s="33"/>
      <c r="N43" s="33"/>
    </row>
    <row r="44" spans="2:17" x14ac:dyDescent="0.3">
      <c r="H44" s="33"/>
      <c r="I44" s="149" t="s">
        <v>31</v>
      </c>
      <c r="J44" s="149"/>
      <c r="K44" s="150">
        <f>VLOOKUP(K43,Sheet2!$P$42:$Q$57,2,0)</f>
        <v>9.2499999999999999E-2</v>
      </c>
      <c r="L44" s="151"/>
      <c r="M44" s="33"/>
      <c r="N44" s="33"/>
    </row>
    <row r="45" spans="2:17" hidden="1" x14ac:dyDescent="0.3">
      <c r="D45" s="39"/>
      <c r="E45" s="33"/>
      <c r="F45" s="33"/>
      <c r="G45" s="33"/>
      <c r="H45" s="33"/>
      <c r="I45" s="33"/>
      <c r="J45" s="35"/>
      <c r="K45" s="19"/>
      <c r="L45" s="19"/>
      <c r="M45" s="33"/>
      <c r="N45" s="33"/>
    </row>
    <row r="46" spans="2:17" hidden="1" x14ac:dyDescent="0.3">
      <c r="H46" s="33"/>
      <c r="I46" s="33"/>
      <c r="J46" s="35"/>
      <c r="K46" s="19"/>
      <c r="L46" s="19"/>
      <c r="M46" s="33"/>
      <c r="N46" s="33"/>
    </row>
    <row r="47" spans="2:17" hidden="1" x14ac:dyDescent="0.3">
      <c r="E47" s="19"/>
      <c r="F47" s="19"/>
      <c r="J47" s="19"/>
      <c r="K47" s="19"/>
      <c r="L47" s="19"/>
    </row>
    <row r="48" spans="2:17" hidden="1" x14ac:dyDescent="0.3">
      <c r="J48" s="19"/>
      <c r="K48" s="19"/>
      <c r="L48" s="19"/>
    </row>
    <row r="49" spans="4:5" hidden="1" x14ac:dyDescent="0.3">
      <c r="D49" s="28"/>
    </row>
    <row r="50" spans="4:5" hidden="1" x14ac:dyDescent="0.3"/>
    <row r="51" spans="4:5" hidden="1" x14ac:dyDescent="0.3"/>
    <row r="52" spans="4:5" hidden="1" x14ac:dyDescent="0.3"/>
    <row r="53" spans="4:5" hidden="1" x14ac:dyDescent="0.3"/>
    <row r="54" spans="4:5" hidden="1" x14ac:dyDescent="0.3"/>
    <row r="55" spans="4:5" hidden="1" x14ac:dyDescent="0.3"/>
    <row r="56" spans="4:5" hidden="1" x14ac:dyDescent="0.3"/>
    <row r="57" spans="4:5" hidden="1" x14ac:dyDescent="0.3"/>
    <row r="58" spans="4:5" hidden="1" x14ac:dyDescent="0.3"/>
    <row r="59" spans="4:5" hidden="1" x14ac:dyDescent="0.3"/>
    <row r="60" spans="4:5" hidden="1" x14ac:dyDescent="0.3"/>
    <row r="61" spans="4:5" hidden="1" x14ac:dyDescent="0.3">
      <c r="E61" s="29"/>
    </row>
    <row r="62" spans="4:5" hidden="1" x14ac:dyDescent="0.3"/>
    <row r="63" spans="4:5" hidden="1" x14ac:dyDescent="0.3"/>
    <row r="64" spans="4:5" hidden="1" x14ac:dyDescent="0.3"/>
    <row r="65" hidden="1" x14ac:dyDescent="0.3"/>
    <row r="66" hidden="1" x14ac:dyDescent="0.3"/>
    <row r="67" hidden="1" x14ac:dyDescent="0.3"/>
  </sheetData>
  <sheetProtection algorithmName="SHA-512" hashValue="s7EfrBIHFmSZY5cSjvKkFDLCvk7dGWdazWg1aeGXVHRvneJ0teAMeqkOjqSxyhcOpK2gnTyAKGfy/nQ1MZ4Ehg==" saltValue="pMZRQiXNbSXAmKIdwKVMDQ==" spinCount="100000" sheet="1" objects="1" scenarios="1"/>
  <mergeCells count="55">
    <mergeCell ref="D1:L1"/>
    <mergeCell ref="H13:I13"/>
    <mergeCell ref="D27:I27"/>
    <mergeCell ref="D26:I26"/>
    <mergeCell ref="D23:I23"/>
    <mergeCell ref="D22:I22"/>
    <mergeCell ref="D21:I21"/>
    <mergeCell ref="J24:L24"/>
    <mergeCell ref="E25:G25"/>
    <mergeCell ref="J26:L26"/>
    <mergeCell ref="E4:L4"/>
    <mergeCell ref="E5:L5"/>
    <mergeCell ref="E6:L6"/>
    <mergeCell ref="D16:D19"/>
    <mergeCell ref="E7:L7"/>
    <mergeCell ref="E18:I18"/>
    <mergeCell ref="J18:L18"/>
    <mergeCell ref="J16:M16"/>
    <mergeCell ref="E14:L14"/>
    <mergeCell ref="D2:L2"/>
    <mergeCell ref="E13:G13"/>
    <mergeCell ref="J13:L13"/>
    <mergeCell ref="E16:I16"/>
    <mergeCell ref="E17:I17"/>
    <mergeCell ref="J17:L17"/>
    <mergeCell ref="E8:L8"/>
    <mergeCell ref="E10:L10"/>
    <mergeCell ref="F11:L11"/>
    <mergeCell ref="E12:L12"/>
    <mergeCell ref="E9:L9"/>
    <mergeCell ref="I44:J44"/>
    <mergeCell ref="K44:L44"/>
    <mergeCell ref="I36:J36"/>
    <mergeCell ref="I37:J37"/>
    <mergeCell ref="I34:J34"/>
    <mergeCell ref="I35:J35"/>
    <mergeCell ref="K43:L43"/>
    <mergeCell ref="I38:J38"/>
    <mergeCell ref="I43:J43"/>
    <mergeCell ref="I39:J39"/>
    <mergeCell ref="I40:J40"/>
    <mergeCell ref="E33:G33"/>
    <mergeCell ref="J28:L28"/>
    <mergeCell ref="J27:L27"/>
    <mergeCell ref="J25:L25"/>
    <mergeCell ref="E19:I19"/>
    <mergeCell ref="J21:L21"/>
    <mergeCell ref="J22:L22"/>
    <mergeCell ref="J19:M19"/>
    <mergeCell ref="J23:L23"/>
    <mergeCell ref="H33:J33"/>
    <mergeCell ref="D30:I30"/>
    <mergeCell ref="J30:L30"/>
    <mergeCell ref="I31:J31"/>
    <mergeCell ref="B32:O32"/>
  </mergeCells>
  <phoneticPr fontId="2" type="noConversion"/>
  <conditionalFormatting sqref="E8:L8">
    <cfRule type="expression" dxfId="1" priority="2">
      <formula>$E$7&lt;&gt;"New"</formula>
    </cfRule>
  </conditionalFormatting>
  <conditionalFormatting sqref="E9:L9">
    <cfRule type="expression" dxfId="0" priority="1">
      <formula>$E$7="New"</formula>
    </cfRule>
  </conditionalFormatting>
  <dataValidations count="4">
    <dataValidation type="list" allowBlank="1" showInputMessage="1" showErrorMessage="1" sqref="E14:L14">
      <formula1>"1,2,3,4,5,6,7"</formula1>
    </dataValidation>
    <dataValidation allowBlank="1" showErrorMessage="1" sqref="E5:L5 J17:L18 J19:N19"/>
    <dataValidation type="list" allowBlank="1" showInputMessage="1" showErrorMessage="1" sqref="J28:L28">
      <formula1>"0.13%,0.15%,0.16%"</formula1>
    </dataValidation>
    <dataValidation type="list" allowBlank="1" showInputMessage="1" showErrorMessage="1" sqref="E7:L7">
      <formula1>$Y$7:$Y$8</formula1>
    </dataValidation>
  </dataValidations>
  <pageMargins left="0.75" right="0.75" top="0.47" bottom="0.77" header="0.6" footer="0.5"/>
  <pageSetup scale="70" orientation="portrait" r:id="rId1"/>
  <headerFooter alignWithMargins="0"/>
  <ignoredErrors>
    <ignoredError sqref="E8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Sheet2!$M$5:$M$9</xm:f>
          </x14:formula1>
          <xm:sqref>M17:N17</xm:sqref>
        </x14:dataValidation>
        <x14:dataValidation type="list" allowBlank="1" showInputMessage="1" showErrorMessage="1">
          <x14:formula1>
            <xm:f>Sheet2!$S$5:$S$6</xm:f>
          </x14:formula1>
          <xm:sqref>M18:N18</xm:sqref>
        </x14:dataValidation>
        <x14:dataValidation type="list" allowBlank="1" showInputMessage="1" showErrorMessage="1" promptTitle="Select Model">
          <x14:formula1>
            <xm:f>Sheet2!$E$5:$E$83</xm:f>
          </x14:formula1>
          <xm:sqref>E6:L6</xm:sqref>
        </x14:dataValidation>
        <x14:dataValidation type="list" allowBlank="1" showInputMessage="1" showErrorMessage="1" promptTitle="Select Insurance" prompt="Select Insurance">
          <x14:formula1>
            <xm:f>Sheet2!$N$22:$N$37</xm:f>
          </x14:formula1>
          <xm:sqref>J16:N16</xm:sqref>
        </x14:dataValidation>
        <x14:dataValidation type="list" allowBlank="1" showInputMessage="1" showErrorMessage="1" promptTitle="Select Rate">
          <x14:formula1>
            <xm:f>Sheet2!$P$42:$P$57</xm:f>
          </x14:formula1>
          <xm:sqref>K43:L43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23"/>
  <sheetViews>
    <sheetView showGridLines="0" topLeftCell="A3" zoomScale="85" zoomScaleNormal="85" workbookViewId="0">
      <selection activeCell="A14" sqref="A14"/>
    </sheetView>
  </sheetViews>
  <sheetFormatPr defaultColWidth="0" defaultRowHeight="12.75" zeroHeight="1" x14ac:dyDescent="0.2"/>
  <cols>
    <col min="1" max="2" width="9.140625" customWidth="1"/>
    <col min="3" max="6" width="33.85546875" customWidth="1"/>
    <col min="7" max="7" width="9.140625" customWidth="1"/>
    <col min="8" max="16384" width="9.140625" hidden="1"/>
  </cols>
  <sheetData>
    <row r="1" spans="3:6" hidden="1" x14ac:dyDescent="0.2"/>
    <row r="2" spans="3:6" hidden="1" x14ac:dyDescent="0.2"/>
    <row r="3" spans="3:6" x14ac:dyDescent="0.2"/>
    <row r="4" spans="3:6" ht="21.75" customHeight="1" x14ac:dyDescent="0.2">
      <c r="C4" s="129" t="s">
        <v>260</v>
      </c>
      <c r="D4" s="130" t="s">
        <v>263</v>
      </c>
      <c r="E4" s="130" t="s">
        <v>282</v>
      </c>
      <c r="F4" s="130" t="s">
        <v>274</v>
      </c>
    </row>
    <row r="5" spans="3:6" ht="21" customHeight="1" x14ac:dyDescent="0.2">
      <c r="C5" s="176" t="s">
        <v>280</v>
      </c>
      <c r="D5" s="176"/>
      <c r="E5" s="176"/>
      <c r="F5" s="176"/>
    </row>
    <row r="6" spans="3:6" ht="15.75" x14ac:dyDescent="0.2">
      <c r="C6" s="129" t="s">
        <v>259</v>
      </c>
      <c r="D6" s="130">
        <v>1.4999999999999999E-2</v>
      </c>
      <c r="E6" s="130">
        <v>1.4E-2</v>
      </c>
      <c r="F6" s="130">
        <v>2.2499999999999999E-2</v>
      </c>
    </row>
    <row r="7" spans="3:6" ht="15.75" x14ac:dyDescent="0.2">
      <c r="C7" s="129" t="s">
        <v>199</v>
      </c>
      <c r="D7" s="130">
        <v>1.9900000000000001E-2</v>
      </c>
      <c r="E7" s="130">
        <v>1.9900000000000001E-2</v>
      </c>
      <c r="F7" s="130">
        <v>2.5000000000000001E-2</v>
      </c>
    </row>
    <row r="8" spans="3:6" ht="22.5" customHeight="1" x14ac:dyDescent="0.2">
      <c r="C8" s="176" t="s">
        <v>281</v>
      </c>
      <c r="D8" s="176"/>
      <c r="E8" s="176"/>
      <c r="F8" s="176"/>
    </row>
    <row r="9" spans="3:6" ht="15.75" x14ac:dyDescent="0.2">
      <c r="C9" s="129" t="s">
        <v>259</v>
      </c>
      <c r="D9" s="130">
        <v>2.9000000000000001E-2</v>
      </c>
      <c r="E9" s="130">
        <v>1.4E-2</v>
      </c>
      <c r="F9" s="130">
        <v>2.2499999999999999E-2</v>
      </c>
    </row>
    <row r="10" spans="3:6" ht="15.75" x14ac:dyDescent="0.2">
      <c r="C10" s="129" t="s">
        <v>199</v>
      </c>
      <c r="D10" s="130">
        <v>3.5000000000000003E-2</v>
      </c>
      <c r="E10" s="130">
        <v>1.9900000000000001E-2</v>
      </c>
      <c r="F10" s="130">
        <v>2.5000000000000001E-2</v>
      </c>
    </row>
    <row r="11" spans="3:6" x14ac:dyDescent="0.2"/>
    <row r="12" spans="3:6" x14ac:dyDescent="0.2"/>
    <row r="13" spans="3:6" ht="22.5" customHeight="1" x14ac:dyDescent="0.2">
      <c r="C13" s="128" t="s">
        <v>260</v>
      </c>
      <c r="D13" s="128" t="s">
        <v>261</v>
      </c>
      <c r="E13" s="128" t="s">
        <v>262</v>
      </c>
    </row>
    <row r="14" spans="3:6" ht="42" customHeight="1" x14ac:dyDescent="0.2">
      <c r="C14" s="177" t="s">
        <v>263</v>
      </c>
      <c r="D14" s="125" t="s">
        <v>264</v>
      </c>
      <c r="E14" s="125" t="s">
        <v>268</v>
      </c>
    </row>
    <row r="15" spans="3:6" ht="45" x14ac:dyDescent="0.2">
      <c r="C15" s="177"/>
      <c r="D15" s="125" t="s">
        <v>265</v>
      </c>
      <c r="E15" s="125" t="s">
        <v>269</v>
      </c>
    </row>
    <row r="16" spans="3:6" ht="56.25" x14ac:dyDescent="0.2">
      <c r="C16" s="177"/>
      <c r="D16" s="125" t="s">
        <v>266</v>
      </c>
      <c r="E16" s="125" t="s">
        <v>270</v>
      </c>
    </row>
    <row r="17" spans="3:5" ht="33.75" x14ac:dyDescent="0.2">
      <c r="C17" s="177"/>
      <c r="D17" s="125" t="s">
        <v>267</v>
      </c>
      <c r="E17" s="125" t="s">
        <v>271</v>
      </c>
    </row>
    <row r="18" spans="3:5" ht="22.5" x14ac:dyDescent="0.2">
      <c r="C18" s="126" t="s">
        <v>272</v>
      </c>
      <c r="D18" s="125" t="s">
        <v>273</v>
      </c>
      <c r="E18" s="125" t="s">
        <v>268</v>
      </c>
    </row>
    <row r="19" spans="3:5" ht="45" x14ac:dyDescent="0.2">
      <c r="C19" s="177" t="s">
        <v>274</v>
      </c>
      <c r="D19" s="125" t="s">
        <v>275</v>
      </c>
      <c r="E19" s="125" t="s">
        <v>278</v>
      </c>
    </row>
    <row r="20" spans="3:5" ht="45" x14ac:dyDescent="0.2">
      <c r="C20" s="177"/>
      <c r="D20" s="125" t="s">
        <v>276</v>
      </c>
      <c r="E20" s="125" t="s">
        <v>279</v>
      </c>
    </row>
    <row r="21" spans="3:5" ht="22.5" x14ac:dyDescent="0.2">
      <c r="C21" s="177"/>
      <c r="D21" s="125" t="s">
        <v>277</v>
      </c>
      <c r="E21" s="127"/>
    </row>
    <row r="22" spans="3:5" x14ac:dyDescent="0.2"/>
    <row r="23" spans="3:5" x14ac:dyDescent="0.2"/>
  </sheetData>
  <mergeCells count="4">
    <mergeCell ref="C5:F5"/>
    <mergeCell ref="C8:F8"/>
    <mergeCell ref="C14:C17"/>
    <mergeCell ref="C19:C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83"/>
  <sheetViews>
    <sheetView topLeftCell="F13" workbookViewId="0">
      <selection activeCell="S29" sqref="S29"/>
    </sheetView>
  </sheetViews>
  <sheetFormatPr defaultRowHeight="12.75" x14ac:dyDescent="0.2"/>
  <cols>
    <col min="3" max="3" width="35.140625" bestFit="1" customWidth="1"/>
    <col min="5" max="5" width="31.28515625" bestFit="1" customWidth="1"/>
    <col min="6" max="6" width="11" bestFit="1" customWidth="1"/>
    <col min="7" max="7" width="8.7109375" bestFit="1" customWidth="1"/>
    <col min="8" max="8" width="10.42578125" bestFit="1" customWidth="1"/>
    <col min="13" max="13" width="22.7109375" bestFit="1" customWidth="1"/>
    <col min="14" max="14" width="41" bestFit="1" customWidth="1"/>
    <col min="15" max="15" width="6.28515625" customWidth="1"/>
    <col min="16" max="16" width="17.85546875" bestFit="1" customWidth="1"/>
    <col min="17" max="17" width="15.5703125" bestFit="1" customWidth="1"/>
  </cols>
  <sheetData>
    <row r="1" spans="2:19" ht="13.5" thickBot="1" x14ac:dyDescent="0.25"/>
    <row r="2" spans="2:19" ht="14.25" thickTop="1" thickBot="1" x14ac:dyDescent="0.25">
      <c r="B2" s="58" t="s">
        <v>42</v>
      </c>
      <c r="C2" s="59"/>
      <c r="D2" s="59"/>
      <c r="E2" s="59"/>
      <c r="F2" s="60"/>
      <c r="G2" s="61" t="s">
        <v>41</v>
      </c>
      <c r="H2" s="61" t="s">
        <v>40</v>
      </c>
    </row>
    <row r="3" spans="2:19" ht="14.25" thickTop="1" thickBot="1" x14ac:dyDescent="0.25">
      <c r="B3" s="58"/>
      <c r="C3" s="59"/>
      <c r="D3" s="59"/>
      <c r="E3" s="59"/>
      <c r="F3" s="60"/>
      <c r="G3" s="59"/>
      <c r="H3" s="59"/>
    </row>
    <row r="4" spans="2:19" ht="90.75" thickTop="1" thickBot="1" x14ac:dyDescent="0.25">
      <c r="B4" s="62" t="s">
        <v>43</v>
      </c>
      <c r="C4" s="63" t="s">
        <v>44</v>
      </c>
      <c r="D4" s="63" t="s">
        <v>45</v>
      </c>
      <c r="E4" s="63" t="s">
        <v>46</v>
      </c>
      <c r="F4" s="64" t="s">
        <v>47</v>
      </c>
      <c r="G4" s="65" t="s">
        <v>48</v>
      </c>
      <c r="H4" s="66" t="s">
        <v>49</v>
      </c>
      <c r="M4" s="63" t="s">
        <v>197</v>
      </c>
      <c r="N4" s="63" t="s">
        <v>198</v>
      </c>
      <c r="O4" s="63" t="s">
        <v>199</v>
      </c>
      <c r="P4" s="63" t="s">
        <v>201</v>
      </c>
      <c r="Q4" s="63" t="s">
        <v>200</v>
      </c>
    </row>
    <row r="5" spans="2:19" ht="13.5" thickTop="1" x14ac:dyDescent="0.2">
      <c r="B5" s="67">
        <v>88</v>
      </c>
      <c r="C5" s="68" t="s">
        <v>50</v>
      </c>
      <c r="D5" s="69" t="s">
        <v>51</v>
      </c>
      <c r="E5" s="68" t="s">
        <v>52</v>
      </c>
      <c r="F5" s="70">
        <v>1049000</v>
      </c>
      <c r="G5" s="67">
        <v>5</v>
      </c>
      <c r="H5" s="67" t="s">
        <v>53</v>
      </c>
      <c r="I5" t="str">
        <f>C5</f>
        <v>Al HAJ FAW MOTORS PRIVATE LIMITED</v>
      </c>
      <c r="M5" t="s">
        <v>193</v>
      </c>
      <c r="N5" s="91">
        <v>1.4E-2</v>
      </c>
      <c r="O5" s="91">
        <v>1.9900000000000001E-2</v>
      </c>
      <c r="P5" s="91">
        <v>1.4E-2</v>
      </c>
      <c r="Q5" s="91">
        <v>1.9900000000000001E-2</v>
      </c>
      <c r="S5" s="92" t="s">
        <v>203</v>
      </c>
    </row>
    <row r="6" spans="2:19" x14ac:dyDescent="0.2">
      <c r="B6" s="71">
        <v>89</v>
      </c>
      <c r="C6" s="72" t="s">
        <v>50</v>
      </c>
      <c r="D6" s="72" t="s">
        <v>54</v>
      </c>
      <c r="E6" s="72" t="s">
        <v>55</v>
      </c>
      <c r="F6" s="73">
        <v>1344000</v>
      </c>
      <c r="G6" s="71">
        <v>6</v>
      </c>
      <c r="H6" s="71">
        <v>3</v>
      </c>
      <c r="I6" t="str">
        <f t="shared" ref="I6:I69" si="0">C6</f>
        <v>Al HAJ FAW MOTORS PRIVATE LIMITED</v>
      </c>
      <c r="M6" t="s">
        <v>194</v>
      </c>
      <c r="N6" s="91">
        <v>1.4999999999999999E-2</v>
      </c>
      <c r="O6" s="91">
        <v>1.9900000000000001E-2</v>
      </c>
      <c r="P6" s="91">
        <v>2.9000000000000001E-2</v>
      </c>
      <c r="Q6" s="91">
        <v>3.5000000000000003E-2</v>
      </c>
      <c r="S6" s="92" t="s">
        <v>204</v>
      </c>
    </row>
    <row r="7" spans="2:19" x14ac:dyDescent="0.2">
      <c r="B7" s="71">
        <v>90</v>
      </c>
      <c r="C7" s="72" t="s">
        <v>50</v>
      </c>
      <c r="D7" s="72" t="s">
        <v>56</v>
      </c>
      <c r="E7" s="72" t="s">
        <v>57</v>
      </c>
      <c r="F7" s="73">
        <v>1609000</v>
      </c>
      <c r="G7" s="71">
        <v>6</v>
      </c>
      <c r="H7" s="71">
        <v>3</v>
      </c>
      <c r="I7" t="str">
        <f t="shared" si="0"/>
        <v>Al HAJ FAW MOTORS PRIVATE LIMITED</v>
      </c>
      <c r="M7" t="s">
        <v>195</v>
      </c>
      <c r="N7" s="91">
        <v>2.2499999999999999E-2</v>
      </c>
      <c r="O7" s="91">
        <v>2.5000000000000001E-2</v>
      </c>
      <c r="P7" s="91">
        <v>2.2499999999999999E-2</v>
      </c>
      <c r="Q7" s="91">
        <v>2.5000000000000001E-2</v>
      </c>
    </row>
    <row r="8" spans="2:19" x14ac:dyDescent="0.2">
      <c r="B8" s="67">
        <v>91</v>
      </c>
      <c r="C8" s="69" t="s">
        <v>58</v>
      </c>
      <c r="D8" s="69" t="s">
        <v>59</v>
      </c>
      <c r="E8" s="69" t="s">
        <v>60</v>
      </c>
      <c r="F8" s="74">
        <v>12020000</v>
      </c>
      <c r="G8" s="67">
        <v>5</v>
      </c>
      <c r="H8" s="67">
        <v>5</v>
      </c>
      <c r="I8" t="str">
        <f t="shared" si="0"/>
        <v>HONDA ATLAS CARS PAKISTAN LIMITED</v>
      </c>
      <c r="M8" t="s">
        <v>38</v>
      </c>
      <c r="N8" s="91" t="s">
        <v>202</v>
      </c>
      <c r="O8" s="91" t="s">
        <v>202</v>
      </c>
      <c r="P8" s="91" t="s">
        <v>202</v>
      </c>
      <c r="Q8" s="91" t="s">
        <v>202</v>
      </c>
    </row>
    <row r="9" spans="2:19" x14ac:dyDescent="0.2">
      <c r="B9" s="67">
        <v>93</v>
      </c>
      <c r="C9" s="69" t="s">
        <v>58</v>
      </c>
      <c r="D9" s="69" t="s">
        <v>61</v>
      </c>
      <c r="E9" s="69" t="s">
        <v>62</v>
      </c>
      <c r="F9" s="74">
        <v>2467000</v>
      </c>
      <c r="G9" s="67">
        <v>7</v>
      </c>
      <c r="H9" s="67">
        <v>5</v>
      </c>
      <c r="I9" t="str">
        <f t="shared" si="0"/>
        <v>HONDA ATLAS CARS PAKISTAN LIMITED</v>
      </c>
      <c r="M9" t="s">
        <v>196</v>
      </c>
      <c r="N9" s="91">
        <v>1.4E-2</v>
      </c>
      <c r="O9" s="91">
        <v>1.89E-2</v>
      </c>
      <c r="P9" s="91">
        <v>2.9000000000000001E-2</v>
      </c>
      <c r="Q9" s="91">
        <v>3.5000000000000003E-2</v>
      </c>
    </row>
    <row r="10" spans="2:19" x14ac:dyDescent="0.2">
      <c r="B10" s="67">
        <v>94</v>
      </c>
      <c r="C10" s="69" t="s">
        <v>58</v>
      </c>
      <c r="D10" s="69" t="s">
        <v>61</v>
      </c>
      <c r="E10" s="69" t="s">
        <v>63</v>
      </c>
      <c r="F10" s="74">
        <v>2657000</v>
      </c>
      <c r="G10" s="67">
        <v>7</v>
      </c>
      <c r="H10" s="67">
        <v>5</v>
      </c>
      <c r="I10" t="str">
        <f t="shared" si="0"/>
        <v>HONDA ATLAS CARS PAKISTAN LIMITED</v>
      </c>
    </row>
    <row r="11" spans="2:19" x14ac:dyDescent="0.2">
      <c r="B11" s="67">
        <v>95</v>
      </c>
      <c r="C11" s="69" t="s">
        <v>58</v>
      </c>
      <c r="D11" s="69" t="s">
        <v>61</v>
      </c>
      <c r="E11" s="69" t="s">
        <v>64</v>
      </c>
      <c r="F11" s="74">
        <v>2547000</v>
      </c>
      <c r="G11" s="67">
        <v>7</v>
      </c>
      <c r="H11" s="67">
        <v>5</v>
      </c>
      <c r="I11" t="str">
        <f t="shared" si="0"/>
        <v>HONDA ATLAS CARS PAKISTAN LIMITED</v>
      </c>
    </row>
    <row r="12" spans="2:19" x14ac:dyDescent="0.2">
      <c r="B12" s="67">
        <v>96</v>
      </c>
      <c r="C12" s="69" t="s">
        <v>58</v>
      </c>
      <c r="D12" s="69" t="s">
        <v>61</v>
      </c>
      <c r="E12" s="69" t="s">
        <v>65</v>
      </c>
      <c r="F12" s="74">
        <v>2717000</v>
      </c>
      <c r="G12" s="67">
        <v>7</v>
      </c>
      <c r="H12" s="67">
        <v>5</v>
      </c>
      <c r="I12" t="str">
        <f t="shared" si="0"/>
        <v>HONDA ATLAS CARS PAKISTAN LIMITED</v>
      </c>
    </row>
    <row r="13" spans="2:19" x14ac:dyDescent="0.2">
      <c r="B13" s="67">
        <v>97</v>
      </c>
      <c r="C13" s="69" t="s">
        <v>58</v>
      </c>
      <c r="D13" s="69" t="s">
        <v>61</v>
      </c>
      <c r="E13" s="69" t="s">
        <v>66</v>
      </c>
      <c r="F13" s="74">
        <v>2717000</v>
      </c>
      <c r="G13" s="67">
        <v>7</v>
      </c>
      <c r="H13" s="67">
        <v>5</v>
      </c>
      <c r="I13" t="str">
        <f t="shared" si="0"/>
        <v>HONDA ATLAS CARS PAKISTAN LIMITED</v>
      </c>
      <c r="M13" s="92" t="s">
        <v>205</v>
      </c>
    </row>
    <row r="14" spans="2:19" x14ac:dyDescent="0.2">
      <c r="B14" s="67">
        <v>98</v>
      </c>
      <c r="C14" s="69" t="s">
        <v>58</v>
      </c>
      <c r="D14" s="69" t="s">
        <v>61</v>
      </c>
      <c r="E14" s="69" t="s">
        <v>67</v>
      </c>
      <c r="F14" s="74">
        <v>2877000</v>
      </c>
      <c r="G14" s="67">
        <v>7</v>
      </c>
      <c r="H14" s="67">
        <v>5</v>
      </c>
      <c r="I14" t="str">
        <f t="shared" si="0"/>
        <v>HONDA ATLAS CARS PAKISTAN LIMITED</v>
      </c>
      <c r="M14" s="91">
        <v>8.2400000000000001E-2</v>
      </c>
    </row>
    <row r="15" spans="2:19" x14ac:dyDescent="0.2">
      <c r="B15" s="67">
        <v>99</v>
      </c>
      <c r="C15" s="69" t="s">
        <v>58</v>
      </c>
      <c r="D15" s="69" t="s">
        <v>68</v>
      </c>
      <c r="E15" s="72" t="s">
        <v>69</v>
      </c>
      <c r="F15" s="73">
        <v>4717000</v>
      </c>
      <c r="G15" s="67">
        <v>7</v>
      </c>
      <c r="H15" s="67">
        <v>5</v>
      </c>
      <c r="I15" t="str">
        <f t="shared" si="0"/>
        <v>HONDA ATLAS CARS PAKISTAN LIMITED</v>
      </c>
    </row>
    <row r="16" spans="2:19" x14ac:dyDescent="0.2">
      <c r="B16" s="67">
        <v>100</v>
      </c>
      <c r="C16" s="69" t="s">
        <v>58</v>
      </c>
      <c r="D16" s="69" t="s">
        <v>68</v>
      </c>
      <c r="E16" s="69" t="s">
        <v>70</v>
      </c>
      <c r="F16" s="74">
        <v>3747000</v>
      </c>
      <c r="G16" s="67">
        <v>7</v>
      </c>
      <c r="H16" s="67">
        <v>5</v>
      </c>
      <c r="I16" t="str">
        <f t="shared" si="0"/>
        <v>HONDA ATLAS CARS PAKISTAN LIMITED</v>
      </c>
    </row>
    <row r="17" spans="2:17" x14ac:dyDescent="0.2">
      <c r="B17" s="67">
        <v>101</v>
      </c>
      <c r="C17" s="69" t="s">
        <v>58</v>
      </c>
      <c r="D17" s="69" t="s">
        <v>68</v>
      </c>
      <c r="E17" s="69" t="s">
        <v>71</v>
      </c>
      <c r="F17" s="74">
        <v>3997000</v>
      </c>
      <c r="G17" s="67">
        <v>7</v>
      </c>
      <c r="H17" s="67">
        <v>5</v>
      </c>
      <c r="I17" t="str">
        <f t="shared" si="0"/>
        <v>HONDA ATLAS CARS PAKISTAN LIMITED</v>
      </c>
    </row>
    <row r="18" spans="2:17" x14ac:dyDescent="0.2">
      <c r="B18" s="67">
        <v>103</v>
      </c>
      <c r="C18" s="69" t="s">
        <v>58</v>
      </c>
      <c r="D18" s="69" t="s">
        <v>72</v>
      </c>
      <c r="E18" s="69" t="s">
        <v>73</v>
      </c>
      <c r="F18" s="74">
        <v>10721000</v>
      </c>
      <c r="G18" s="67">
        <v>5</v>
      </c>
      <c r="H18" s="67">
        <v>5</v>
      </c>
      <c r="I18" t="str">
        <f t="shared" si="0"/>
        <v>HONDA ATLAS CARS PAKISTAN LIMITED</v>
      </c>
    </row>
    <row r="19" spans="2:17" x14ac:dyDescent="0.2">
      <c r="B19" s="67">
        <v>110</v>
      </c>
      <c r="C19" s="69" t="s">
        <v>58</v>
      </c>
      <c r="D19" s="69" t="s">
        <v>74</v>
      </c>
      <c r="E19" s="69" t="s">
        <v>75</v>
      </c>
      <c r="F19" s="74">
        <v>3337000</v>
      </c>
      <c r="G19" s="71">
        <v>7</v>
      </c>
      <c r="H19" s="67">
        <v>5</v>
      </c>
      <c r="I19" t="str">
        <f t="shared" si="0"/>
        <v>HONDA ATLAS CARS PAKISTAN LIMITED</v>
      </c>
    </row>
    <row r="20" spans="2:17" x14ac:dyDescent="0.2">
      <c r="B20" s="67">
        <v>115</v>
      </c>
      <c r="C20" s="69" t="s">
        <v>58</v>
      </c>
      <c r="D20" s="69" t="s">
        <v>76</v>
      </c>
      <c r="E20" s="69" t="s">
        <v>77</v>
      </c>
      <c r="F20" s="74">
        <v>4817000</v>
      </c>
      <c r="G20" s="67">
        <v>5</v>
      </c>
      <c r="H20" s="67">
        <v>5</v>
      </c>
      <c r="I20" t="str">
        <f t="shared" si="0"/>
        <v>HONDA ATLAS CARS PAKISTAN LIMITED</v>
      </c>
    </row>
    <row r="21" spans="2:17" x14ac:dyDescent="0.2">
      <c r="B21" s="67">
        <v>183</v>
      </c>
      <c r="C21" s="69" t="s">
        <v>78</v>
      </c>
      <c r="D21" s="69" t="s">
        <v>79</v>
      </c>
      <c r="E21" s="72" t="s">
        <v>80</v>
      </c>
      <c r="F21" s="73">
        <v>1633000</v>
      </c>
      <c r="G21" s="71">
        <v>5</v>
      </c>
      <c r="H21" s="75" t="s">
        <v>53</v>
      </c>
      <c r="I21" t="str">
        <f t="shared" si="0"/>
        <v>PAK SUZUKI MOTORS COMPANY LIMITED</v>
      </c>
    </row>
    <row r="22" spans="2:17" x14ac:dyDescent="0.2">
      <c r="B22" s="67">
        <v>184</v>
      </c>
      <c r="C22" s="69" t="s">
        <v>78</v>
      </c>
      <c r="D22" s="69" t="s">
        <v>79</v>
      </c>
      <c r="E22" s="72" t="s">
        <v>81</v>
      </c>
      <c r="F22" s="73">
        <v>1433000</v>
      </c>
      <c r="G22" s="71">
        <v>5</v>
      </c>
      <c r="H22" s="75" t="s">
        <v>53</v>
      </c>
      <c r="I22" t="str">
        <f t="shared" si="0"/>
        <v>PAK SUZUKI MOTORS COMPANY LIMITED</v>
      </c>
      <c r="N22" s="92" t="s">
        <v>251</v>
      </c>
      <c r="O22" s="92" t="s">
        <v>204</v>
      </c>
      <c r="P22" s="92" t="s">
        <v>204</v>
      </c>
      <c r="Q22" s="91">
        <v>1.4999999999999999E-2</v>
      </c>
    </row>
    <row r="23" spans="2:17" x14ac:dyDescent="0.2">
      <c r="B23" s="67">
        <v>185</v>
      </c>
      <c r="C23" s="69" t="s">
        <v>78</v>
      </c>
      <c r="D23" s="69" t="s">
        <v>79</v>
      </c>
      <c r="E23" s="72" t="s">
        <v>82</v>
      </c>
      <c r="F23" s="73">
        <v>1633000</v>
      </c>
      <c r="G23" s="71">
        <v>5</v>
      </c>
      <c r="H23" s="75" t="s">
        <v>53</v>
      </c>
      <c r="I23" t="str">
        <f t="shared" si="0"/>
        <v>PAK SUZUKI MOTORS COMPANY LIMITED</v>
      </c>
      <c r="N23" s="92" t="s">
        <v>255</v>
      </c>
      <c r="O23" s="92" t="s">
        <v>204</v>
      </c>
      <c r="P23" s="92" t="s">
        <v>203</v>
      </c>
      <c r="Q23" s="95">
        <v>2.9000000000000001E-2</v>
      </c>
    </row>
    <row r="24" spans="2:17" x14ac:dyDescent="0.2">
      <c r="B24" s="67">
        <v>187</v>
      </c>
      <c r="C24" s="69" t="s">
        <v>78</v>
      </c>
      <c r="D24" s="69" t="s">
        <v>83</v>
      </c>
      <c r="E24" s="69" t="s">
        <v>84</v>
      </c>
      <c r="F24" s="74">
        <v>3460000</v>
      </c>
      <c r="G24" s="76">
        <v>7</v>
      </c>
      <c r="H24" s="77">
        <v>5</v>
      </c>
      <c r="I24" t="str">
        <f t="shared" si="0"/>
        <v>PAK SUZUKI MOTORS COMPANY LIMITED</v>
      </c>
      <c r="N24" t="s">
        <v>206</v>
      </c>
      <c r="O24" s="92" t="s">
        <v>203</v>
      </c>
      <c r="P24" s="92" t="s">
        <v>204</v>
      </c>
      <c r="Q24" s="91">
        <v>1.9900000000000001E-2</v>
      </c>
    </row>
    <row r="25" spans="2:17" x14ac:dyDescent="0.2">
      <c r="B25" s="67">
        <v>188</v>
      </c>
      <c r="C25" s="69" t="s">
        <v>78</v>
      </c>
      <c r="D25" s="69" t="s">
        <v>85</v>
      </c>
      <c r="E25" s="69" t="s">
        <v>86</v>
      </c>
      <c r="F25" s="74">
        <v>1134000</v>
      </c>
      <c r="G25" s="67">
        <v>5</v>
      </c>
      <c r="H25" s="75" t="s">
        <v>53</v>
      </c>
      <c r="I25" t="str">
        <f t="shared" si="0"/>
        <v>PAK SUZUKI MOTORS COMPANY LIMITED</v>
      </c>
      <c r="N25" t="s">
        <v>210</v>
      </c>
      <c r="O25" s="92" t="s">
        <v>203</v>
      </c>
      <c r="P25" s="92" t="s">
        <v>203</v>
      </c>
      <c r="Q25" s="91">
        <v>3.5000000000000003E-2</v>
      </c>
    </row>
    <row r="26" spans="2:17" x14ac:dyDescent="0.2">
      <c r="B26" s="67">
        <v>189</v>
      </c>
      <c r="C26" s="69" t="s">
        <v>78</v>
      </c>
      <c r="D26" s="69" t="s">
        <v>87</v>
      </c>
      <c r="E26" s="69" t="s">
        <v>88</v>
      </c>
      <c r="F26" s="74">
        <v>1780000</v>
      </c>
      <c r="G26" s="76">
        <v>7</v>
      </c>
      <c r="H26" s="77">
        <v>5</v>
      </c>
      <c r="I26" t="str">
        <f t="shared" si="0"/>
        <v>PAK SUZUKI MOTORS COMPANY LIMITED</v>
      </c>
      <c r="N26" s="92" t="s">
        <v>252</v>
      </c>
      <c r="O26" s="92" t="s">
        <v>204</v>
      </c>
      <c r="P26" s="92" t="s">
        <v>204</v>
      </c>
      <c r="Q26" s="131">
        <v>1.4999999999999999E-2</v>
      </c>
    </row>
    <row r="27" spans="2:17" x14ac:dyDescent="0.2">
      <c r="B27" s="67">
        <v>190</v>
      </c>
      <c r="C27" s="69" t="s">
        <v>78</v>
      </c>
      <c r="D27" s="69" t="s">
        <v>87</v>
      </c>
      <c r="E27" s="69" t="s">
        <v>89</v>
      </c>
      <c r="F27" s="74">
        <v>1970000</v>
      </c>
      <c r="G27" s="76">
        <v>7</v>
      </c>
      <c r="H27" s="77">
        <v>5</v>
      </c>
      <c r="I27" t="str">
        <f t="shared" si="0"/>
        <v>PAK SUZUKI MOTORS COMPANY LIMITED</v>
      </c>
      <c r="N27" s="92" t="s">
        <v>256</v>
      </c>
      <c r="O27" s="92" t="s">
        <v>204</v>
      </c>
      <c r="P27" s="92" t="s">
        <v>203</v>
      </c>
      <c r="Q27" s="131">
        <v>1.4999999999999999E-2</v>
      </c>
    </row>
    <row r="28" spans="2:17" x14ac:dyDescent="0.2">
      <c r="B28" s="67">
        <v>197</v>
      </c>
      <c r="C28" s="78" t="s">
        <v>78</v>
      </c>
      <c r="D28" s="69" t="s">
        <v>90</v>
      </c>
      <c r="E28" s="68" t="s">
        <v>91</v>
      </c>
      <c r="F28" s="70">
        <v>1075000</v>
      </c>
      <c r="G28" s="71">
        <v>5</v>
      </c>
      <c r="H28" s="75" t="s">
        <v>53</v>
      </c>
      <c r="I28" t="str">
        <f t="shared" si="0"/>
        <v>PAK SUZUKI MOTORS COMPANY LIMITED</v>
      </c>
      <c r="N28" t="s">
        <v>207</v>
      </c>
      <c r="O28" s="92" t="s">
        <v>203</v>
      </c>
      <c r="P28" s="92" t="s">
        <v>204</v>
      </c>
      <c r="Q28" s="91">
        <v>1.9900000000000001E-2</v>
      </c>
    </row>
    <row r="29" spans="2:17" x14ac:dyDescent="0.2">
      <c r="B29" s="67">
        <v>199</v>
      </c>
      <c r="C29" s="69" t="s">
        <v>78</v>
      </c>
      <c r="D29" s="69" t="s">
        <v>92</v>
      </c>
      <c r="E29" s="69" t="s">
        <v>93</v>
      </c>
      <c r="F29" s="74">
        <v>2030000</v>
      </c>
      <c r="G29" s="71">
        <v>7</v>
      </c>
      <c r="H29" s="67">
        <v>5</v>
      </c>
      <c r="I29" t="str">
        <f t="shared" si="0"/>
        <v>PAK SUZUKI MOTORS COMPANY LIMITED</v>
      </c>
      <c r="N29" t="s">
        <v>211</v>
      </c>
      <c r="O29" s="92" t="s">
        <v>203</v>
      </c>
      <c r="P29" s="92" t="s">
        <v>203</v>
      </c>
      <c r="Q29" s="95">
        <v>1.9900000000000001E-2</v>
      </c>
    </row>
    <row r="30" spans="2:17" x14ac:dyDescent="0.2">
      <c r="B30" s="67">
        <v>200</v>
      </c>
      <c r="C30" s="69" t="s">
        <v>78</v>
      </c>
      <c r="D30" s="69" t="s">
        <v>92</v>
      </c>
      <c r="E30" s="69" t="s">
        <v>94</v>
      </c>
      <c r="F30" s="74">
        <v>2210000</v>
      </c>
      <c r="G30" s="71">
        <v>7</v>
      </c>
      <c r="H30" s="67">
        <v>5</v>
      </c>
      <c r="I30" t="str">
        <f t="shared" si="0"/>
        <v>PAK SUZUKI MOTORS COMPANY LIMITED</v>
      </c>
      <c r="N30" s="92" t="s">
        <v>253</v>
      </c>
      <c r="O30" s="92" t="s">
        <v>204</v>
      </c>
      <c r="P30" s="92" t="s">
        <v>204</v>
      </c>
      <c r="Q30" s="91">
        <v>2.2499999999999999E-2</v>
      </c>
    </row>
    <row r="31" spans="2:17" x14ac:dyDescent="0.2">
      <c r="B31" s="67">
        <v>202</v>
      </c>
      <c r="C31" s="69" t="s">
        <v>78</v>
      </c>
      <c r="D31" s="69" t="s">
        <v>95</v>
      </c>
      <c r="E31" s="69" t="s">
        <v>96</v>
      </c>
      <c r="F31" s="74">
        <v>6500000</v>
      </c>
      <c r="G31" s="67">
        <v>5</v>
      </c>
      <c r="H31" s="67">
        <v>5</v>
      </c>
      <c r="I31" t="str">
        <f t="shared" si="0"/>
        <v>PAK SUZUKI MOTORS COMPANY LIMITED</v>
      </c>
      <c r="N31" s="92" t="s">
        <v>257</v>
      </c>
      <c r="O31" s="92" t="s">
        <v>204</v>
      </c>
      <c r="P31" s="92" t="s">
        <v>203</v>
      </c>
      <c r="Q31" s="91">
        <v>2.2499999999999999E-2</v>
      </c>
    </row>
    <row r="32" spans="2:17" x14ac:dyDescent="0.2">
      <c r="B32" s="67">
        <v>204</v>
      </c>
      <c r="C32" s="69" t="s">
        <v>78</v>
      </c>
      <c r="D32" s="69" t="s">
        <v>97</v>
      </c>
      <c r="E32" s="69" t="s">
        <v>98</v>
      </c>
      <c r="F32" s="74">
        <v>1640000</v>
      </c>
      <c r="G32" s="76">
        <v>7</v>
      </c>
      <c r="H32" s="67">
        <v>5</v>
      </c>
      <c r="I32" t="str">
        <f t="shared" si="0"/>
        <v>PAK SUZUKI MOTORS COMPANY LIMITED</v>
      </c>
      <c r="N32" t="s">
        <v>208</v>
      </c>
      <c r="O32" s="92" t="s">
        <v>203</v>
      </c>
      <c r="P32" s="92" t="s">
        <v>204</v>
      </c>
      <c r="Q32" s="91">
        <v>2.5000000000000001E-2</v>
      </c>
    </row>
    <row r="33" spans="2:17" x14ac:dyDescent="0.2">
      <c r="B33" s="67">
        <v>205</v>
      </c>
      <c r="C33" s="69" t="s">
        <v>78</v>
      </c>
      <c r="D33" s="69" t="s">
        <v>97</v>
      </c>
      <c r="E33" s="69" t="s">
        <v>99</v>
      </c>
      <c r="F33" s="74">
        <v>1730000</v>
      </c>
      <c r="G33" s="76">
        <v>7</v>
      </c>
      <c r="H33" s="67">
        <v>5</v>
      </c>
      <c r="I33" t="str">
        <f t="shared" si="0"/>
        <v>PAK SUZUKI MOTORS COMPANY LIMITED</v>
      </c>
      <c r="N33" t="s">
        <v>212</v>
      </c>
      <c r="O33" s="92" t="s">
        <v>203</v>
      </c>
      <c r="P33" s="92" t="s">
        <v>203</v>
      </c>
      <c r="Q33" s="91">
        <v>2.5000000000000001E-2</v>
      </c>
    </row>
    <row r="34" spans="2:17" x14ac:dyDescent="0.2">
      <c r="B34" s="67">
        <v>206</v>
      </c>
      <c r="C34" s="69" t="s">
        <v>78</v>
      </c>
      <c r="D34" s="69" t="s">
        <v>100</v>
      </c>
      <c r="E34" s="69" t="s">
        <v>101</v>
      </c>
      <c r="F34" s="74">
        <v>2300000</v>
      </c>
      <c r="G34" s="67">
        <v>7</v>
      </c>
      <c r="H34" s="67">
        <v>5</v>
      </c>
      <c r="I34" t="str">
        <f t="shared" si="0"/>
        <v>PAK SUZUKI MOTORS COMPANY LIMITED</v>
      </c>
      <c r="N34" s="92" t="s">
        <v>254</v>
      </c>
      <c r="O34" s="92" t="s">
        <v>204</v>
      </c>
      <c r="P34" s="92" t="s">
        <v>204</v>
      </c>
      <c r="Q34" s="91">
        <v>1.3999999999999999E-2</v>
      </c>
    </row>
    <row r="35" spans="2:17" x14ac:dyDescent="0.2">
      <c r="B35" s="67">
        <v>207</v>
      </c>
      <c r="C35" s="69" t="s">
        <v>78</v>
      </c>
      <c r="D35" s="69" t="s">
        <v>100</v>
      </c>
      <c r="E35" s="69" t="s">
        <v>102</v>
      </c>
      <c r="F35" s="74">
        <v>2500000</v>
      </c>
      <c r="G35" s="67">
        <v>7</v>
      </c>
      <c r="H35" s="67">
        <v>5</v>
      </c>
      <c r="I35" t="str">
        <f t="shared" si="0"/>
        <v>PAK SUZUKI MOTORS COMPANY LIMITED</v>
      </c>
      <c r="N35" s="92" t="s">
        <v>258</v>
      </c>
      <c r="O35" s="92" t="s">
        <v>204</v>
      </c>
      <c r="P35" s="92" t="s">
        <v>203</v>
      </c>
      <c r="Q35" s="91">
        <v>2.8999999999999998E-2</v>
      </c>
    </row>
    <row r="36" spans="2:17" x14ac:dyDescent="0.2">
      <c r="B36" s="67">
        <v>233</v>
      </c>
      <c r="C36" s="69" t="s">
        <v>103</v>
      </c>
      <c r="D36" s="72" t="s">
        <v>104</v>
      </c>
      <c r="E36" s="69" t="s">
        <v>105</v>
      </c>
      <c r="F36" s="74">
        <v>3375000</v>
      </c>
      <c r="G36" s="71">
        <v>7</v>
      </c>
      <c r="H36" s="67">
        <v>5</v>
      </c>
      <c r="I36" t="str">
        <f t="shared" si="0"/>
        <v>INDUS MOTORS COMPANY LIMITED</v>
      </c>
      <c r="N36" t="s">
        <v>209</v>
      </c>
      <c r="O36" s="92" t="s">
        <v>203</v>
      </c>
      <c r="P36" s="92" t="s">
        <v>204</v>
      </c>
      <c r="Q36" s="91">
        <v>1.89E-2</v>
      </c>
    </row>
    <row r="37" spans="2:17" x14ac:dyDescent="0.2">
      <c r="B37" s="67">
        <v>234</v>
      </c>
      <c r="C37" s="69" t="s">
        <v>103</v>
      </c>
      <c r="D37" s="69" t="s">
        <v>104</v>
      </c>
      <c r="E37" s="69" t="s">
        <v>106</v>
      </c>
      <c r="F37" s="74">
        <v>3555000</v>
      </c>
      <c r="G37" s="71">
        <v>7</v>
      </c>
      <c r="H37" s="67">
        <v>5</v>
      </c>
      <c r="I37" t="str">
        <f t="shared" si="0"/>
        <v>INDUS MOTORS COMPANY LIMITED</v>
      </c>
      <c r="N37" t="s">
        <v>213</v>
      </c>
      <c r="O37" s="92" t="s">
        <v>203</v>
      </c>
      <c r="P37" s="92" t="s">
        <v>203</v>
      </c>
      <c r="Q37" s="91">
        <v>3.5000000000000003E-2</v>
      </c>
    </row>
    <row r="38" spans="2:17" x14ac:dyDescent="0.2">
      <c r="B38" s="67">
        <v>238</v>
      </c>
      <c r="C38" s="69" t="s">
        <v>103</v>
      </c>
      <c r="D38" s="69" t="s">
        <v>107</v>
      </c>
      <c r="E38" s="69" t="s">
        <v>108</v>
      </c>
      <c r="F38" s="74"/>
      <c r="G38" s="67">
        <v>7</v>
      </c>
      <c r="H38" s="67">
        <v>5</v>
      </c>
      <c r="I38" t="str">
        <f t="shared" si="0"/>
        <v>INDUS MOTORS COMPANY LIMITED</v>
      </c>
    </row>
    <row r="39" spans="2:17" x14ac:dyDescent="0.2">
      <c r="B39" s="67">
        <v>239</v>
      </c>
      <c r="C39" s="69" t="s">
        <v>103</v>
      </c>
      <c r="D39" s="69" t="s">
        <v>107</v>
      </c>
      <c r="E39" s="69" t="s">
        <v>108</v>
      </c>
      <c r="F39" s="74"/>
      <c r="G39" s="67">
        <v>7</v>
      </c>
      <c r="H39" s="67">
        <v>5</v>
      </c>
      <c r="I39" t="str">
        <f t="shared" si="0"/>
        <v>INDUS MOTORS COMPANY LIMITED</v>
      </c>
    </row>
    <row r="40" spans="2:17" x14ac:dyDescent="0.2">
      <c r="B40" s="67">
        <v>341</v>
      </c>
      <c r="C40" s="79" t="s">
        <v>109</v>
      </c>
      <c r="D40" s="80" t="s">
        <v>110</v>
      </c>
      <c r="E40" s="79" t="s">
        <v>110</v>
      </c>
      <c r="F40" s="81">
        <v>1179000</v>
      </c>
      <c r="G40" s="80">
        <v>5</v>
      </c>
      <c r="H40" s="67" t="s">
        <v>53</v>
      </c>
      <c r="I40" t="str">
        <f t="shared" si="0"/>
        <v>MASTER MOTORS LIMITED</v>
      </c>
    </row>
    <row r="41" spans="2:17" x14ac:dyDescent="0.2">
      <c r="B41" s="71">
        <v>342</v>
      </c>
      <c r="C41" s="82" t="s">
        <v>109</v>
      </c>
      <c r="D41" s="82" t="s">
        <v>111</v>
      </c>
      <c r="E41" s="82" t="s">
        <v>111</v>
      </c>
      <c r="F41" s="83">
        <v>1435000</v>
      </c>
      <c r="G41" s="82">
        <v>5</v>
      </c>
      <c r="H41" s="71" t="s">
        <v>53</v>
      </c>
      <c r="I41" t="str">
        <f t="shared" si="0"/>
        <v>MASTER MOTORS LIMITED</v>
      </c>
    </row>
    <row r="42" spans="2:17" x14ac:dyDescent="0.2">
      <c r="B42" s="67">
        <v>343</v>
      </c>
      <c r="C42" s="69" t="s">
        <v>103</v>
      </c>
      <c r="D42" s="82" t="s">
        <v>112</v>
      </c>
      <c r="E42" s="82" t="s">
        <v>113</v>
      </c>
      <c r="F42" s="84">
        <v>5919500</v>
      </c>
      <c r="G42" s="71">
        <v>7</v>
      </c>
      <c r="H42" s="71">
        <v>5</v>
      </c>
      <c r="I42" t="str">
        <f t="shared" si="0"/>
        <v>INDUS MOTORS COMPANY LIMITED</v>
      </c>
      <c r="P42" t="s">
        <v>214</v>
      </c>
      <c r="Q42" s="96">
        <v>8.2500000000000004E-2</v>
      </c>
    </row>
    <row r="43" spans="2:17" x14ac:dyDescent="0.2">
      <c r="B43" s="67">
        <v>344</v>
      </c>
      <c r="C43" s="69" t="s">
        <v>103</v>
      </c>
      <c r="D43" s="82" t="s">
        <v>112</v>
      </c>
      <c r="E43" s="82" t="s">
        <v>114</v>
      </c>
      <c r="F43" s="84">
        <v>6349500</v>
      </c>
      <c r="G43" s="71">
        <v>7</v>
      </c>
      <c r="H43" s="71">
        <v>5</v>
      </c>
      <c r="I43" t="str">
        <f t="shared" si="0"/>
        <v>INDUS MOTORS COMPANY LIMITED</v>
      </c>
      <c r="P43" t="s">
        <v>215</v>
      </c>
      <c r="Q43" s="96">
        <v>8.2500000000000004E-2</v>
      </c>
    </row>
    <row r="44" spans="2:17" x14ac:dyDescent="0.2">
      <c r="B44" s="67">
        <v>345</v>
      </c>
      <c r="C44" s="69" t="s">
        <v>103</v>
      </c>
      <c r="D44" s="82" t="s">
        <v>112</v>
      </c>
      <c r="E44" s="82" t="s">
        <v>115</v>
      </c>
      <c r="F44" s="84">
        <v>6671500</v>
      </c>
      <c r="G44" s="71">
        <v>7</v>
      </c>
      <c r="H44" s="71">
        <v>5</v>
      </c>
      <c r="I44" t="str">
        <f t="shared" si="0"/>
        <v>INDUS MOTORS COMPANY LIMITED</v>
      </c>
      <c r="P44" t="s">
        <v>216</v>
      </c>
      <c r="Q44" s="96">
        <v>8.5000000000000006E-2</v>
      </c>
    </row>
    <row r="45" spans="2:17" x14ac:dyDescent="0.2">
      <c r="B45" s="67">
        <v>346</v>
      </c>
      <c r="C45" s="69" t="s">
        <v>103</v>
      </c>
      <c r="D45" s="82" t="s">
        <v>112</v>
      </c>
      <c r="E45" s="82" t="s">
        <v>116</v>
      </c>
      <c r="F45" s="84">
        <v>7048500</v>
      </c>
      <c r="G45" s="71">
        <v>7</v>
      </c>
      <c r="H45" s="71">
        <v>5</v>
      </c>
      <c r="I45" t="str">
        <f t="shared" si="0"/>
        <v>INDUS MOTORS COMPANY LIMITED</v>
      </c>
      <c r="P45" t="s">
        <v>217</v>
      </c>
      <c r="Q45" s="96">
        <v>0.09</v>
      </c>
    </row>
    <row r="46" spans="2:17" x14ac:dyDescent="0.2">
      <c r="B46" s="67">
        <v>348</v>
      </c>
      <c r="C46" s="85" t="s">
        <v>117</v>
      </c>
      <c r="D46" s="82" t="s">
        <v>118</v>
      </c>
      <c r="E46" s="80" t="s">
        <v>119</v>
      </c>
      <c r="F46" s="86">
        <v>4905000</v>
      </c>
      <c r="G46" s="71">
        <v>7</v>
      </c>
      <c r="H46" s="71">
        <v>5</v>
      </c>
      <c r="I46" t="str">
        <f t="shared" si="0"/>
        <v>KIA LUCKY MOTORS PAKISTAN LIMITED</v>
      </c>
      <c r="P46" t="s">
        <v>218</v>
      </c>
      <c r="Q46" s="96">
        <v>9.2499999999999999E-2</v>
      </c>
    </row>
    <row r="47" spans="2:17" x14ac:dyDescent="0.2">
      <c r="B47" s="67">
        <v>349</v>
      </c>
      <c r="C47" s="85" t="s">
        <v>117</v>
      </c>
      <c r="D47" s="82" t="s">
        <v>120</v>
      </c>
      <c r="E47" s="80" t="s">
        <v>121</v>
      </c>
      <c r="F47" s="86">
        <v>5405000</v>
      </c>
      <c r="G47" s="71">
        <v>7</v>
      </c>
      <c r="H47" s="71">
        <v>5</v>
      </c>
      <c r="I47" t="str">
        <f t="shared" si="0"/>
        <v>KIA LUCKY MOTORS PAKISTAN LIMITED</v>
      </c>
      <c r="P47" t="s">
        <v>219</v>
      </c>
      <c r="Q47" s="96">
        <v>9.5000000000000001E-2</v>
      </c>
    </row>
    <row r="48" spans="2:17" x14ac:dyDescent="0.2">
      <c r="B48" s="67">
        <v>352</v>
      </c>
      <c r="C48" s="85" t="s">
        <v>117</v>
      </c>
      <c r="D48" s="82" t="s">
        <v>122</v>
      </c>
      <c r="E48" s="80" t="s">
        <v>123</v>
      </c>
      <c r="F48" s="86">
        <v>1904000</v>
      </c>
      <c r="G48" s="71">
        <v>7</v>
      </c>
      <c r="H48" s="71">
        <v>5</v>
      </c>
      <c r="I48" t="str">
        <f t="shared" si="0"/>
        <v>KIA LUCKY MOTORS PAKISTAN LIMITED</v>
      </c>
      <c r="P48" t="s">
        <v>220</v>
      </c>
      <c r="Q48" s="96">
        <v>0.1</v>
      </c>
    </row>
    <row r="49" spans="2:17" x14ac:dyDescent="0.2">
      <c r="B49" s="67">
        <v>353</v>
      </c>
      <c r="C49" s="85" t="s">
        <v>117</v>
      </c>
      <c r="D49" s="82" t="s">
        <v>124</v>
      </c>
      <c r="E49" s="80" t="s">
        <v>125</v>
      </c>
      <c r="F49" s="86">
        <v>2054000</v>
      </c>
      <c r="G49" s="71">
        <v>7</v>
      </c>
      <c r="H49" s="71">
        <v>5</v>
      </c>
      <c r="I49" t="str">
        <f t="shared" si="0"/>
        <v>KIA LUCKY MOTORS PAKISTAN LIMITED</v>
      </c>
      <c r="P49" t="s">
        <v>221</v>
      </c>
      <c r="Q49" s="96">
        <v>0.10059999999999999</v>
      </c>
    </row>
    <row r="50" spans="2:17" x14ac:dyDescent="0.2">
      <c r="B50" s="67">
        <v>355</v>
      </c>
      <c r="C50" s="69" t="s">
        <v>103</v>
      </c>
      <c r="D50" s="69" t="s">
        <v>107</v>
      </c>
      <c r="E50" s="72" t="s">
        <v>126</v>
      </c>
      <c r="F50" s="73">
        <v>9158000</v>
      </c>
      <c r="G50" s="69">
        <v>7</v>
      </c>
      <c r="H50" s="69">
        <v>5</v>
      </c>
      <c r="I50" t="str">
        <f t="shared" si="0"/>
        <v>INDUS MOTORS COMPANY LIMITED</v>
      </c>
      <c r="P50" t="s">
        <v>222</v>
      </c>
      <c r="Q50" s="96">
        <v>0.10059999999999999</v>
      </c>
    </row>
    <row r="51" spans="2:17" x14ac:dyDescent="0.2">
      <c r="B51" s="67">
        <v>356</v>
      </c>
      <c r="C51" s="69" t="s">
        <v>78</v>
      </c>
      <c r="D51" s="69" t="s">
        <v>87</v>
      </c>
      <c r="E51" s="69" t="s">
        <v>127</v>
      </c>
      <c r="F51" s="74">
        <v>2130000</v>
      </c>
      <c r="G51" s="67">
        <v>7</v>
      </c>
      <c r="H51" s="67">
        <v>5</v>
      </c>
      <c r="I51" t="str">
        <f t="shared" si="0"/>
        <v>PAK SUZUKI MOTORS COMPANY LIMITED</v>
      </c>
      <c r="P51" t="s">
        <v>223</v>
      </c>
      <c r="Q51" s="96">
        <v>0.1071</v>
      </c>
    </row>
    <row r="52" spans="2:17" x14ac:dyDescent="0.2">
      <c r="B52" s="67">
        <v>358</v>
      </c>
      <c r="C52" s="69" t="s">
        <v>103</v>
      </c>
      <c r="D52" s="69" t="s">
        <v>128</v>
      </c>
      <c r="E52" s="72" t="s">
        <v>129</v>
      </c>
      <c r="F52" s="73">
        <v>7708000</v>
      </c>
      <c r="G52" s="67">
        <v>7</v>
      </c>
      <c r="H52" s="67">
        <v>5</v>
      </c>
      <c r="I52" t="str">
        <f t="shared" si="0"/>
        <v>INDUS MOTORS COMPANY LIMITED</v>
      </c>
      <c r="P52" t="s">
        <v>224</v>
      </c>
      <c r="Q52" s="96">
        <v>0.1105</v>
      </c>
    </row>
    <row r="53" spans="2:17" x14ac:dyDescent="0.2">
      <c r="B53" s="67">
        <v>359</v>
      </c>
      <c r="C53" s="68" t="s">
        <v>130</v>
      </c>
      <c r="D53" s="69" t="s">
        <v>131</v>
      </c>
      <c r="E53" s="68" t="s">
        <v>132</v>
      </c>
      <c r="F53" s="70">
        <v>2502800</v>
      </c>
      <c r="G53" s="67">
        <v>5</v>
      </c>
      <c r="H53" s="67" t="s">
        <v>53</v>
      </c>
      <c r="I53" t="str">
        <f t="shared" si="0"/>
        <v>HYUNDAI NISHAT MOTOR (Private) LIMITED</v>
      </c>
      <c r="P53" t="s">
        <v>225</v>
      </c>
      <c r="Q53" s="96">
        <v>0.11260000000000001</v>
      </c>
    </row>
    <row r="54" spans="2:17" x14ac:dyDescent="0.2">
      <c r="B54" s="67">
        <v>360</v>
      </c>
      <c r="C54" s="68" t="s">
        <v>130</v>
      </c>
      <c r="D54" s="69" t="s">
        <v>131</v>
      </c>
      <c r="E54" s="68" t="s">
        <v>133</v>
      </c>
      <c r="F54" s="70">
        <v>2482800</v>
      </c>
      <c r="G54" s="67">
        <v>5</v>
      </c>
      <c r="H54" s="67" t="s">
        <v>53</v>
      </c>
      <c r="I54" t="str">
        <f t="shared" si="0"/>
        <v>HYUNDAI NISHAT MOTOR (Private) LIMITED</v>
      </c>
      <c r="P54" t="s">
        <v>226</v>
      </c>
      <c r="Q54" s="96">
        <v>0.11260000000000001</v>
      </c>
    </row>
    <row r="55" spans="2:17" x14ac:dyDescent="0.2">
      <c r="B55" s="67">
        <v>361</v>
      </c>
      <c r="C55" s="68" t="s">
        <v>130</v>
      </c>
      <c r="D55" s="69" t="s">
        <v>131</v>
      </c>
      <c r="E55" s="68" t="s">
        <v>134</v>
      </c>
      <c r="F55" s="70">
        <v>2462800</v>
      </c>
      <c r="G55" s="67">
        <v>5</v>
      </c>
      <c r="H55" s="67" t="s">
        <v>53</v>
      </c>
      <c r="I55" t="str">
        <f t="shared" si="0"/>
        <v>HYUNDAI NISHAT MOTOR (Private) LIMITED</v>
      </c>
      <c r="P55" t="s">
        <v>227</v>
      </c>
      <c r="Q55" s="96">
        <v>0.11260000000000001</v>
      </c>
    </row>
    <row r="56" spans="2:17" x14ac:dyDescent="0.2">
      <c r="B56" s="67">
        <v>362</v>
      </c>
      <c r="C56" s="69" t="s">
        <v>78</v>
      </c>
      <c r="D56" s="69" t="s">
        <v>97</v>
      </c>
      <c r="E56" s="69" t="s">
        <v>135</v>
      </c>
      <c r="F56" s="74">
        <v>1890000</v>
      </c>
      <c r="G56" s="67">
        <v>7</v>
      </c>
      <c r="H56" s="67">
        <v>5</v>
      </c>
      <c r="I56" t="str">
        <f t="shared" si="0"/>
        <v>PAK SUZUKI MOTORS COMPANY LIMITED</v>
      </c>
      <c r="P56" t="s">
        <v>228</v>
      </c>
      <c r="Q56" s="96">
        <v>7.0000000000000007E-2</v>
      </c>
    </row>
    <row r="57" spans="2:17" x14ac:dyDescent="0.2">
      <c r="B57" s="67">
        <v>365</v>
      </c>
      <c r="C57" s="85" t="s">
        <v>117</v>
      </c>
      <c r="D57" s="82" t="s">
        <v>136</v>
      </c>
      <c r="E57" s="82" t="s">
        <v>137</v>
      </c>
      <c r="F57" s="84">
        <v>8705000</v>
      </c>
      <c r="G57" s="71">
        <v>7</v>
      </c>
      <c r="H57" s="71" t="s">
        <v>53</v>
      </c>
      <c r="I57" t="str">
        <f t="shared" si="0"/>
        <v>KIA LUCKY MOTORS PAKISTAN LIMITED</v>
      </c>
      <c r="P57" t="s">
        <v>229</v>
      </c>
      <c r="Q57" s="96">
        <v>9.2399999999999996E-2</v>
      </c>
    </row>
    <row r="58" spans="2:17" x14ac:dyDescent="0.2">
      <c r="B58" s="67">
        <v>366</v>
      </c>
      <c r="C58" s="85" t="s">
        <v>117</v>
      </c>
      <c r="D58" s="82" t="s">
        <v>138</v>
      </c>
      <c r="E58" s="82" t="s">
        <v>139</v>
      </c>
      <c r="F58" s="84">
        <v>9505000</v>
      </c>
      <c r="G58" s="71">
        <v>7</v>
      </c>
      <c r="H58" s="71" t="s">
        <v>53</v>
      </c>
      <c r="I58" t="str">
        <f t="shared" si="0"/>
        <v>KIA LUCKY MOTORS PAKISTAN LIMITED</v>
      </c>
    </row>
    <row r="59" spans="2:17" x14ac:dyDescent="0.2">
      <c r="B59" s="67">
        <v>367</v>
      </c>
      <c r="C59" s="69" t="s">
        <v>103</v>
      </c>
      <c r="D59" s="72" t="s">
        <v>140</v>
      </c>
      <c r="E59" s="72" t="s">
        <v>141</v>
      </c>
      <c r="F59" s="73">
        <v>2515000</v>
      </c>
      <c r="G59" s="67">
        <v>7</v>
      </c>
      <c r="H59" s="67">
        <v>5</v>
      </c>
      <c r="I59" t="str">
        <f t="shared" si="0"/>
        <v>INDUS MOTORS COMPANY LIMITED</v>
      </c>
    </row>
    <row r="60" spans="2:17" x14ac:dyDescent="0.2">
      <c r="B60" s="67">
        <v>368</v>
      </c>
      <c r="C60" s="69" t="s">
        <v>103</v>
      </c>
      <c r="D60" s="72" t="s">
        <v>142</v>
      </c>
      <c r="E60" s="72" t="s">
        <v>143</v>
      </c>
      <c r="F60" s="73">
        <v>2695000</v>
      </c>
      <c r="G60" s="67">
        <v>7</v>
      </c>
      <c r="H60" s="67">
        <v>5</v>
      </c>
      <c r="I60" t="str">
        <f t="shared" si="0"/>
        <v>INDUS MOTORS COMPANY LIMITED</v>
      </c>
    </row>
    <row r="61" spans="2:17" x14ac:dyDescent="0.2">
      <c r="B61" s="67">
        <v>369</v>
      </c>
      <c r="C61" s="69" t="s">
        <v>103</v>
      </c>
      <c r="D61" s="72" t="s">
        <v>144</v>
      </c>
      <c r="E61" s="72" t="s">
        <v>145</v>
      </c>
      <c r="F61" s="73">
        <v>2625000</v>
      </c>
      <c r="G61" s="67">
        <v>7</v>
      </c>
      <c r="H61" s="67">
        <v>5</v>
      </c>
      <c r="I61" t="str">
        <f t="shared" si="0"/>
        <v>INDUS MOTORS COMPANY LIMITED</v>
      </c>
    </row>
    <row r="62" spans="2:17" x14ac:dyDescent="0.2">
      <c r="B62" s="67">
        <v>370</v>
      </c>
      <c r="C62" s="69" t="s">
        <v>103</v>
      </c>
      <c r="D62" s="72" t="s">
        <v>146</v>
      </c>
      <c r="E62" s="72" t="s">
        <v>147</v>
      </c>
      <c r="F62" s="73">
        <v>2775000</v>
      </c>
      <c r="G62" s="67">
        <v>7</v>
      </c>
      <c r="H62" s="67">
        <v>5</v>
      </c>
      <c r="I62" t="str">
        <f t="shared" si="0"/>
        <v>INDUS MOTORS COMPANY LIMITED</v>
      </c>
    </row>
    <row r="63" spans="2:17" x14ac:dyDescent="0.2">
      <c r="B63" s="67">
        <v>371</v>
      </c>
      <c r="C63" s="69" t="s">
        <v>103</v>
      </c>
      <c r="D63" s="72" t="s">
        <v>148</v>
      </c>
      <c r="E63" s="72" t="s">
        <v>149</v>
      </c>
      <c r="F63" s="73">
        <v>2835000</v>
      </c>
      <c r="G63" s="67">
        <v>7</v>
      </c>
      <c r="H63" s="67">
        <v>5</v>
      </c>
      <c r="I63" t="str">
        <f t="shared" si="0"/>
        <v>INDUS MOTORS COMPANY LIMITED</v>
      </c>
    </row>
    <row r="64" spans="2:17" x14ac:dyDescent="0.2">
      <c r="B64" s="67">
        <v>372</v>
      </c>
      <c r="C64" s="69" t="s">
        <v>103</v>
      </c>
      <c r="D64" s="72" t="s">
        <v>150</v>
      </c>
      <c r="E64" s="72" t="s">
        <v>151</v>
      </c>
      <c r="F64" s="73">
        <v>3005000</v>
      </c>
      <c r="G64" s="67">
        <v>7</v>
      </c>
      <c r="H64" s="67">
        <v>5</v>
      </c>
      <c r="I64" t="str">
        <f t="shared" si="0"/>
        <v>INDUS MOTORS COMPANY LIMITED</v>
      </c>
    </row>
    <row r="65" spans="2:9" x14ac:dyDescent="0.2">
      <c r="B65" s="71">
        <v>377</v>
      </c>
      <c r="C65" s="72" t="s">
        <v>130</v>
      </c>
      <c r="D65" s="87" t="s">
        <v>152</v>
      </c>
      <c r="E65" s="88" t="s">
        <v>153</v>
      </c>
      <c r="F65" s="89">
        <v>5102900</v>
      </c>
      <c r="G65" s="87">
        <v>7</v>
      </c>
      <c r="H65" s="87">
        <v>5</v>
      </c>
      <c r="I65" t="str">
        <f t="shared" si="0"/>
        <v>HYUNDAI NISHAT MOTOR (Private) LIMITED</v>
      </c>
    </row>
    <row r="66" spans="2:9" x14ac:dyDescent="0.2">
      <c r="B66" s="71">
        <v>378</v>
      </c>
      <c r="C66" s="72" t="s">
        <v>130</v>
      </c>
      <c r="D66" s="87" t="s">
        <v>154</v>
      </c>
      <c r="E66" s="88" t="s">
        <v>155</v>
      </c>
      <c r="F66" s="89">
        <v>5602900</v>
      </c>
      <c r="G66" s="87">
        <v>7</v>
      </c>
      <c r="H66" s="87">
        <v>5</v>
      </c>
      <c r="I66" t="str">
        <f t="shared" si="0"/>
        <v>HYUNDAI NISHAT MOTOR (Private) LIMITED</v>
      </c>
    </row>
    <row r="67" spans="2:9" x14ac:dyDescent="0.2">
      <c r="B67" s="67">
        <v>380</v>
      </c>
      <c r="C67" s="85" t="s">
        <v>117</v>
      </c>
      <c r="D67" s="82" t="s">
        <v>156</v>
      </c>
      <c r="E67" s="80" t="s">
        <v>157</v>
      </c>
      <c r="F67" s="86">
        <v>4405000</v>
      </c>
      <c r="G67" s="71">
        <v>7</v>
      </c>
      <c r="H67" s="71">
        <v>5</v>
      </c>
      <c r="I67" t="str">
        <f t="shared" si="0"/>
        <v>KIA LUCKY MOTORS PAKISTAN LIMITED</v>
      </c>
    </row>
    <row r="68" spans="2:9" x14ac:dyDescent="0.2">
      <c r="B68" s="67">
        <v>381</v>
      </c>
      <c r="C68" s="69" t="s">
        <v>78</v>
      </c>
      <c r="D68" s="69" t="s">
        <v>158</v>
      </c>
      <c r="E68" s="72" t="s">
        <v>159</v>
      </c>
      <c r="F68" s="73">
        <v>1198000</v>
      </c>
      <c r="G68" s="71">
        <v>5</v>
      </c>
      <c r="H68" s="75" t="s">
        <v>53</v>
      </c>
      <c r="I68" t="str">
        <f t="shared" si="0"/>
        <v>PAK SUZUKI MOTORS COMPANY LIMITED</v>
      </c>
    </row>
    <row r="69" spans="2:9" x14ac:dyDescent="0.2">
      <c r="B69" s="67">
        <v>382</v>
      </c>
      <c r="C69" s="79" t="s">
        <v>109</v>
      </c>
      <c r="D69" s="80" t="s">
        <v>160</v>
      </c>
      <c r="E69" s="79" t="s">
        <v>160</v>
      </c>
      <c r="F69" s="81">
        <v>1031000</v>
      </c>
      <c r="G69" s="80">
        <v>5</v>
      </c>
      <c r="H69" s="67" t="s">
        <v>53</v>
      </c>
      <c r="I69" t="str">
        <f t="shared" si="0"/>
        <v>MASTER MOTORS LIMITED</v>
      </c>
    </row>
    <row r="70" spans="2:9" x14ac:dyDescent="0.2">
      <c r="B70" s="67">
        <v>383</v>
      </c>
      <c r="C70" s="90" t="s">
        <v>161</v>
      </c>
      <c r="D70" s="82" t="s">
        <v>162</v>
      </c>
      <c r="E70" s="82" t="s">
        <v>163</v>
      </c>
      <c r="F70" s="84">
        <v>5490000</v>
      </c>
      <c r="G70" s="71">
        <v>7</v>
      </c>
      <c r="H70" s="71">
        <v>5</v>
      </c>
      <c r="I70" t="str">
        <f t="shared" ref="I70:I83" si="1">C70</f>
        <v>MG JW Automobile Pakistan PVT LTD</v>
      </c>
    </row>
    <row r="71" spans="2:9" x14ac:dyDescent="0.2">
      <c r="B71" s="67">
        <v>386</v>
      </c>
      <c r="C71" s="72" t="s">
        <v>164</v>
      </c>
      <c r="D71" s="69" t="s">
        <v>165</v>
      </c>
      <c r="E71" s="69" t="s">
        <v>166</v>
      </c>
      <c r="F71" s="74">
        <v>1975000</v>
      </c>
      <c r="G71" s="71">
        <v>7</v>
      </c>
      <c r="H71" s="71">
        <v>5</v>
      </c>
      <c r="I71" t="str">
        <f t="shared" si="1"/>
        <v>Al HAJ AUTO MOTIVE PRIVATE LIMITED</v>
      </c>
    </row>
    <row r="72" spans="2:9" x14ac:dyDescent="0.2">
      <c r="B72" s="67">
        <v>387</v>
      </c>
      <c r="C72" s="72" t="s">
        <v>164</v>
      </c>
      <c r="D72" s="69" t="s">
        <v>167</v>
      </c>
      <c r="E72" s="69" t="s">
        <v>168</v>
      </c>
      <c r="F72" s="74">
        <v>2125000</v>
      </c>
      <c r="G72" s="71">
        <v>7</v>
      </c>
      <c r="H72" s="71">
        <v>5</v>
      </c>
      <c r="I72" t="str">
        <f t="shared" si="1"/>
        <v>Al HAJ AUTO MOTIVE PRIVATE LIMITED</v>
      </c>
    </row>
    <row r="73" spans="2:9" x14ac:dyDescent="0.2">
      <c r="B73" s="67">
        <v>388</v>
      </c>
      <c r="C73" s="69" t="s">
        <v>169</v>
      </c>
      <c r="D73" s="69" t="s">
        <v>170</v>
      </c>
      <c r="E73" s="69" t="s">
        <v>171</v>
      </c>
      <c r="F73" s="74">
        <v>3899000</v>
      </c>
      <c r="G73" s="71">
        <v>7</v>
      </c>
      <c r="H73" s="71">
        <v>5</v>
      </c>
      <c r="I73" t="str">
        <f t="shared" si="1"/>
        <v>REGAL AUTOMOBILES INDUSTRIES</v>
      </c>
    </row>
    <row r="74" spans="2:9" x14ac:dyDescent="0.2">
      <c r="B74" s="67">
        <v>389</v>
      </c>
      <c r="C74" s="69" t="s">
        <v>169</v>
      </c>
      <c r="D74" s="69" t="s">
        <v>172</v>
      </c>
      <c r="E74" s="69" t="s">
        <v>173</v>
      </c>
      <c r="F74" s="74">
        <v>4149000</v>
      </c>
      <c r="G74" s="71">
        <v>7</v>
      </c>
      <c r="H74" s="71">
        <v>5</v>
      </c>
      <c r="I74" t="str">
        <f t="shared" si="1"/>
        <v>REGAL AUTOMOBILES INDUSTRIES</v>
      </c>
    </row>
    <row r="75" spans="2:9" x14ac:dyDescent="0.2">
      <c r="B75" s="67">
        <v>390</v>
      </c>
      <c r="C75" s="69" t="s">
        <v>169</v>
      </c>
      <c r="D75" s="69" t="s">
        <v>174</v>
      </c>
      <c r="E75" s="69" t="s">
        <v>175</v>
      </c>
      <c r="F75" s="74">
        <v>3899000</v>
      </c>
      <c r="G75" s="71">
        <v>7</v>
      </c>
      <c r="H75" s="71">
        <v>5</v>
      </c>
      <c r="I75" t="str">
        <f t="shared" si="1"/>
        <v>REGAL AUTOMOBILES INDUSTRIES</v>
      </c>
    </row>
    <row r="76" spans="2:9" x14ac:dyDescent="0.2">
      <c r="B76" s="67">
        <v>391</v>
      </c>
      <c r="C76" s="69" t="s">
        <v>169</v>
      </c>
      <c r="D76" s="69" t="s">
        <v>176</v>
      </c>
      <c r="E76" s="69" t="s">
        <v>177</v>
      </c>
      <c r="F76" s="74">
        <v>4549000</v>
      </c>
      <c r="G76" s="71">
        <v>7</v>
      </c>
      <c r="H76" s="71">
        <v>5</v>
      </c>
      <c r="I76" t="str">
        <f t="shared" si="1"/>
        <v>REGAL AUTOMOBILES INDUSTRIES</v>
      </c>
    </row>
    <row r="77" spans="2:9" x14ac:dyDescent="0.2">
      <c r="B77" s="67">
        <v>392</v>
      </c>
      <c r="C77" s="69" t="s">
        <v>169</v>
      </c>
      <c r="D77" s="69" t="s">
        <v>178</v>
      </c>
      <c r="E77" s="69" t="s">
        <v>179</v>
      </c>
      <c r="F77" s="74">
        <v>1149000</v>
      </c>
      <c r="G77" s="71">
        <v>5</v>
      </c>
      <c r="H77" s="71" t="s">
        <v>53</v>
      </c>
      <c r="I77" t="str">
        <f t="shared" si="1"/>
        <v>REGAL AUTOMOBILES INDUSTRIES</v>
      </c>
    </row>
    <row r="78" spans="2:9" x14ac:dyDescent="0.2">
      <c r="B78" s="67">
        <v>393</v>
      </c>
      <c r="C78" s="85" t="s">
        <v>117</v>
      </c>
      <c r="D78" s="69" t="s">
        <v>180</v>
      </c>
      <c r="E78" s="69" t="s">
        <v>181</v>
      </c>
      <c r="F78" s="74">
        <v>7039000</v>
      </c>
      <c r="G78" s="71">
        <v>7</v>
      </c>
      <c r="H78" s="71">
        <v>5</v>
      </c>
      <c r="I78" t="str">
        <f t="shared" si="1"/>
        <v>KIA LUCKY MOTORS PAKISTAN LIMITED</v>
      </c>
    </row>
    <row r="79" spans="2:9" x14ac:dyDescent="0.2">
      <c r="B79" s="67">
        <v>394</v>
      </c>
      <c r="C79" s="85" t="s">
        <v>117</v>
      </c>
      <c r="D79" s="69" t="s">
        <v>182</v>
      </c>
      <c r="E79" s="69" t="s">
        <v>183</v>
      </c>
      <c r="F79" s="74">
        <v>8039000</v>
      </c>
      <c r="G79" s="71">
        <v>7</v>
      </c>
      <c r="H79" s="71">
        <v>5</v>
      </c>
      <c r="I79" t="str">
        <f t="shared" si="1"/>
        <v>KIA LUCKY MOTORS PAKISTAN LIMITED</v>
      </c>
    </row>
    <row r="80" spans="2:9" x14ac:dyDescent="0.2">
      <c r="B80" s="67">
        <v>395</v>
      </c>
      <c r="C80" s="85" t="s">
        <v>117</v>
      </c>
      <c r="D80" s="69" t="s">
        <v>184</v>
      </c>
      <c r="E80" s="69" t="s">
        <v>185</v>
      </c>
      <c r="F80" s="74">
        <v>8439000</v>
      </c>
      <c r="G80" s="71">
        <v>7</v>
      </c>
      <c r="H80" s="71">
        <v>5</v>
      </c>
      <c r="I80" t="str">
        <f t="shared" si="1"/>
        <v>KIA LUCKY MOTORS PAKISTAN LIMITED</v>
      </c>
    </row>
    <row r="81" spans="2:9" x14ac:dyDescent="0.2">
      <c r="B81" s="71">
        <v>396</v>
      </c>
      <c r="C81" s="82" t="s">
        <v>109</v>
      </c>
      <c r="D81" s="72" t="s">
        <v>186</v>
      </c>
      <c r="E81" s="72" t="s">
        <v>187</v>
      </c>
      <c r="F81" s="73">
        <v>2399000</v>
      </c>
      <c r="G81" s="71">
        <v>7</v>
      </c>
      <c r="H81" s="71">
        <v>5</v>
      </c>
      <c r="I81" t="str">
        <f t="shared" si="1"/>
        <v>MASTER MOTORS LIMITED</v>
      </c>
    </row>
    <row r="82" spans="2:9" x14ac:dyDescent="0.2">
      <c r="B82" s="71">
        <v>397</v>
      </c>
      <c r="C82" s="82" t="s">
        <v>109</v>
      </c>
      <c r="D82" s="72" t="s">
        <v>188</v>
      </c>
      <c r="E82" s="72" t="s">
        <v>189</v>
      </c>
      <c r="F82" s="73">
        <v>2549000</v>
      </c>
      <c r="G82" s="71">
        <v>7</v>
      </c>
      <c r="H82" s="71">
        <v>5</v>
      </c>
      <c r="I82" t="str">
        <f t="shared" si="1"/>
        <v>MASTER MOTORS LIMITED</v>
      </c>
    </row>
    <row r="83" spans="2:9" x14ac:dyDescent="0.2">
      <c r="B83" s="71">
        <v>398</v>
      </c>
      <c r="C83" s="82" t="s">
        <v>109</v>
      </c>
      <c r="D83" s="72" t="s">
        <v>190</v>
      </c>
      <c r="E83" s="72" t="s">
        <v>191</v>
      </c>
      <c r="F83" s="73">
        <v>2199000</v>
      </c>
      <c r="G83" s="71">
        <v>7</v>
      </c>
      <c r="H83" s="71">
        <v>5</v>
      </c>
      <c r="I83" t="str">
        <f t="shared" si="1"/>
        <v>MASTER MOTORS LIMITED</v>
      </c>
    </row>
  </sheetData>
  <sortState ref="N23:Q37">
    <sortCondition ref="N23:N37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workbookViewId="0">
      <selection activeCell="A12" sqref="A12"/>
    </sheetView>
  </sheetViews>
  <sheetFormatPr defaultRowHeight="12.75" x14ac:dyDescent="0.2"/>
  <cols>
    <col min="2" max="2" width="16.42578125" style="15" bestFit="1" customWidth="1"/>
    <col min="3" max="3" width="11.28515625" style="6" bestFit="1" customWidth="1"/>
    <col min="4" max="4" width="10.28515625" style="6" bestFit="1" customWidth="1"/>
    <col min="5" max="5" width="27.42578125" style="6" bestFit="1" customWidth="1"/>
    <col min="6" max="6" width="10.28515625" style="6" bestFit="1" customWidth="1"/>
    <col min="7" max="7" width="14.42578125" style="6" bestFit="1" customWidth="1"/>
    <col min="8" max="8" width="9.85546875" style="6" bestFit="1" customWidth="1"/>
    <col min="9" max="9" width="9.140625" style="15"/>
    <col min="10" max="10" width="11.28515625" hidden="1" customWidth="1"/>
    <col min="11" max="11" width="10.7109375" hidden="1" customWidth="1"/>
  </cols>
  <sheetData>
    <row r="1" spans="1:12" x14ac:dyDescent="0.2">
      <c r="B1" s="13" t="s">
        <v>8</v>
      </c>
      <c r="C1" s="8">
        <v>497000</v>
      </c>
      <c r="E1" s="9" t="s">
        <v>14</v>
      </c>
      <c r="F1" s="8">
        <f>C1*$C$8</f>
        <v>24800.3</v>
      </c>
    </row>
    <row r="2" spans="1:12" x14ac:dyDescent="0.2">
      <c r="B2" s="13" t="s">
        <v>9</v>
      </c>
      <c r="C2" s="10">
        <v>0.1</v>
      </c>
      <c r="E2" s="9" t="s">
        <v>16</v>
      </c>
      <c r="F2" s="8">
        <f>C$1*90%*$C$8</f>
        <v>22320.27</v>
      </c>
    </row>
    <row r="3" spans="1:12" x14ac:dyDescent="0.2">
      <c r="B3" s="13" t="s">
        <v>10</v>
      </c>
      <c r="C3" s="8">
        <f>((C1*C2)-C1)*-1</f>
        <v>447300</v>
      </c>
      <c r="E3" s="9" t="s">
        <v>15</v>
      </c>
      <c r="F3" s="8">
        <f>C1*85%*$C$8</f>
        <v>21080.255000000001</v>
      </c>
      <c r="L3" s="1"/>
    </row>
    <row r="4" spans="1:12" x14ac:dyDescent="0.2">
      <c r="B4" s="13" t="s">
        <v>11</v>
      </c>
      <c r="C4" s="11">
        <v>0.17199999999999999</v>
      </c>
      <c r="E4" s="9" t="s">
        <v>17</v>
      </c>
      <c r="F4" s="8">
        <f>C1*80%*$C$8</f>
        <v>19840.240000000002</v>
      </c>
    </row>
    <row r="5" spans="1:12" x14ac:dyDescent="0.2">
      <c r="B5" s="13" t="s">
        <v>12</v>
      </c>
      <c r="C5" s="8">
        <v>84</v>
      </c>
      <c r="E5" s="9" t="s">
        <v>18</v>
      </c>
      <c r="F5" s="8">
        <f>C1*75%*$C$8</f>
        <v>18600.224999999999</v>
      </c>
    </row>
    <row r="6" spans="1:12" x14ac:dyDescent="0.2">
      <c r="B6" s="13" t="s">
        <v>13</v>
      </c>
      <c r="C6" s="8">
        <f>C1-C3</f>
        <v>49700</v>
      </c>
      <c r="E6" s="9" t="s">
        <v>19</v>
      </c>
      <c r="F6" s="8">
        <f>C1*70%*$C$8</f>
        <v>17360.21</v>
      </c>
    </row>
    <row r="7" spans="1:12" x14ac:dyDescent="0.2">
      <c r="B7" s="13" t="s">
        <v>21</v>
      </c>
      <c r="C7" s="8">
        <f>C6+F1+4000+I10</f>
        <v>89553.032007674148</v>
      </c>
      <c r="E7" s="9" t="s">
        <v>20</v>
      </c>
      <c r="F7" s="8">
        <f>C1*65%*$C$8</f>
        <v>16120.195</v>
      </c>
    </row>
    <row r="8" spans="1:12" x14ac:dyDescent="0.2">
      <c r="B8" s="13" t="s">
        <v>22</v>
      </c>
      <c r="C8" s="17">
        <v>4.99E-2</v>
      </c>
      <c r="E8" s="8"/>
      <c r="F8" s="8"/>
    </row>
    <row r="9" spans="1:12" x14ac:dyDescent="0.2">
      <c r="A9" s="2" t="s">
        <v>5</v>
      </c>
      <c r="B9" s="13" t="s">
        <v>1</v>
      </c>
      <c r="C9" s="9" t="s">
        <v>7</v>
      </c>
      <c r="D9" s="9" t="s">
        <v>2</v>
      </c>
      <c r="E9" s="9" t="s">
        <v>3</v>
      </c>
      <c r="F9" s="9" t="s">
        <v>1</v>
      </c>
      <c r="G9" s="9" t="s">
        <v>4</v>
      </c>
      <c r="H9" s="7" t="s">
        <v>6</v>
      </c>
      <c r="I9" s="16" t="s">
        <v>0</v>
      </c>
      <c r="J9" s="5" t="s">
        <v>1</v>
      </c>
      <c r="K9" s="5" t="s">
        <v>2</v>
      </c>
    </row>
    <row r="10" spans="1:12" x14ac:dyDescent="0.2">
      <c r="A10" s="3">
        <v>1</v>
      </c>
      <c r="B10" s="14">
        <f>C3</f>
        <v>447300</v>
      </c>
      <c r="C10" s="8">
        <f>PMT(C$4/12,C$5,-C$3)</f>
        <v>9192.7095076741425</v>
      </c>
      <c r="D10" s="8">
        <f>($C$4/12)*B10</f>
        <v>6411.2999999999993</v>
      </c>
      <c r="E10" s="8">
        <f>D10</f>
        <v>6411.2999999999993</v>
      </c>
      <c r="F10" s="8">
        <f>C10-D10</f>
        <v>2781.4095076741432</v>
      </c>
      <c r="G10" s="8">
        <f>F10</f>
        <v>2781.4095076741432</v>
      </c>
      <c r="H10" s="8">
        <f t="shared" ref="H10:H21" si="0">F$2/12</f>
        <v>1860.0225</v>
      </c>
      <c r="I10" s="14">
        <f>C10+H10</f>
        <v>11052.732007674142</v>
      </c>
      <c r="J10" s="4">
        <f>PPMT($C$4/12,A10,$C$5,-C$3)</f>
        <v>2781.4095076741437</v>
      </c>
      <c r="K10" s="4">
        <f>C10-J10</f>
        <v>6411.2999999999993</v>
      </c>
    </row>
    <row r="11" spans="1:12" x14ac:dyDescent="0.2">
      <c r="A11" s="3">
        <f>A10+1</f>
        <v>2</v>
      </c>
      <c r="B11" s="14">
        <f>B10-F10</f>
        <v>444518.59049232583</v>
      </c>
      <c r="C11" s="8">
        <f t="shared" ref="C11:C74" si="1">PMT(C$4/12,C$5,-C$3)</f>
        <v>9192.7095076741425</v>
      </c>
      <c r="D11" s="8">
        <f t="shared" ref="D11:D74" si="2">($C$4/12)*B11</f>
        <v>6371.4331303900026</v>
      </c>
      <c r="E11" s="8">
        <f>E10+D11</f>
        <v>12782.733130390003</v>
      </c>
      <c r="F11" s="8">
        <f t="shared" ref="F11:F74" si="3">C11-D11</f>
        <v>2821.2763772841399</v>
      </c>
      <c r="G11" s="8">
        <f>G10+F11</f>
        <v>5602.6858849582832</v>
      </c>
      <c r="H11" s="8">
        <f t="shared" si="0"/>
        <v>1860.0225</v>
      </c>
      <c r="I11" s="14">
        <f t="shared" ref="I11:I74" si="4">C11+H11</f>
        <v>11052.732007674142</v>
      </c>
      <c r="J11" s="4">
        <f t="shared" ref="J11:J74" si="5">PPMT($C$4/12,A11,$C$5,-C$3)</f>
        <v>2821.2763772841399</v>
      </c>
      <c r="K11" s="4">
        <f t="shared" ref="K11:K74" si="6">C11-J11</f>
        <v>6371.4331303900026</v>
      </c>
    </row>
    <row r="12" spans="1:12" x14ac:dyDescent="0.2">
      <c r="A12" s="3">
        <f t="shared" ref="A12:A75" si="7">A11+1</f>
        <v>3</v>
      </c>
      <c r="B12" s="14">
        <f t="shared" ref="B12:B75" si="8">B11-F11</f>
        <v>441697.31411504169</v>
      </c>
      <c r="C12" s="8">
        <f t="shared" si="1"/>
        <v>9192.7095076741425</v>
      </c>
      <c r="D12" s="8">
        <f t="shared" si="2"/>
        <v>6330.9948356489303</v>
      </c>
      <c r="E12" s="8">
        <f t="shared" ref="E12:E75" si="9">E11+D12</f>
        <v>19113.727966038932</v>
      </c>
      <c r="F12" s="8">
        <f t="shared" si="3"/>
        <v>2861.7146720252122</v>
      </c>
      <c r="G12" s="8">
        <f t="shared" ref="G12:G75" si="10">G11+F12</f>
        <v>8464.4005569834953</v>
      </c>
      <c r="H12" s="8">
        <f t="shared" si="0"/>
        <v>1860.0225</v>
      </c>
      <c r="I12" s="14">
        <f t="shared" si="4"/>
        <v>11052.732007674142</v>
      </c>
      <c r="J12" s="4">
        <f t="shared" si="5"/>
        <v>2861.7146720252122</v>
      </c>
      <c r="K12" s="4">
        <f t="shared" si="6"/>
        <v>6330.9948356489303</v>
      </c>
      <c r="L12" s="12">
        <f>SUM(C10:C17)</f>
        <v>73541.676061393126</v>
      </c>
    </row>
    <row r="13" spans="1:12" x14ac:dyDescent="0.2">
      <c r="A13" s="3">
        <f t="shared" si="7"/>
        <v>4</v>
      </c>
      <c r="B13" s="14">
        <f t="shared" si="8"/>
        <v>438835.59944301646</v>
      </c>
      <c r="C13" s="8">
        <f t="shared" si="1"/>
        <v>9192.7095076741425</v>
      </c>
      <c r="D13" s="8">
        <f t="shared" si="2"/>
        <v>6289.9769253499016</v>
      </c>
      <c r="E13" s="8">
        <f t="shared" si="9"/>
        <v>25403.704891388836</v>
      </c>
      <c r="F13" s="8">
        <f t="shared" si="3"/>
        <v>2902.7325823242409</v>
      </c>
      <c r="G13" s="8">
        <f t="shared" si="10"/>
        <v>11367.133139307736</v>
      </c>
      <c r="H13" s="8">
        <f t="shared" si="0"/>
        <v>1860.0225</v>
      </c>
      <c r="I13" s="14">
        <f t="shared" si="4"/>
        <v>11052.732007674142</v>
      </c>
      <c r="J13" s="4">
        <f t="shared" si="5"/>
        <v>2902.7325823242404</v>
      </c>
      <c r="K13" s="4">
        <f t="shared" si="6"/>
        <v>6289.9769253499016</v>
      </c>
    </row>
    <row r="14" spans="1:12" x14ac:dyDescent="0.2">
      <c r="A14" s="3">
        <f t="shared" si="7"/>
        <v>5</v>
      </c>
      <c r="B14" s="14">
        <f t="shared" si="8"/>
        <v>435932.86686069221</v>
      </c>
      <c r="C14" s="8">
        <f t="shared" si="1"/>
        <v>9192.7095076741425</v>
      </c>
      <c r="D14" s="8">
        <f t="shared" si="2"/>
        <v>6248.371091669921</v>
      </c>
      <c r="E14" s="8">
        <f t="shared" si="9"/>
        <v>31652.075983058756</v>
      </c>
      <c r="F14" s="8">
        <f t="shared" si="3"/>
        <v>2944.3384160042215</v>
      </c>
      <c r="G14" s="8">
        <f t="shared" si="10"/>
        <v>14311.471555311957</v>
      </c>
      <c r="H14" s="8">
        <f t="shared" si="0"/>
        <v>1860.0225</v>
      </c>
      <c r="I14" s="14">
        <f t="shared" si="4"/>
        <v>11052.732007674142</v>
      </c>
      <c r="J14" s="4">
        <f t="shared" si="5"/>
        <v>2944.3384160042206</v>
      </c>
      <c r="K14" s="4">
        <f t="shared" si="6"/>
        <v>6248.371091669922</v>
      </c>
    </row>
    <row r="15" spans="1:12" x14ac:dyDescent="0.2">
      <c r="A15" s="3">
        <f t="shared" si="7"/>
        <v>6</v>
      </c>
      <c r="B15" s="14">
        <f t="shared" si="8"/>
        <v>432988.52844468801</v>
      </c>
      <c r="C15" s="8">
        <f t="shared" si="1"/>
        <v>9192.7095076741425</v>
      </c>
      <c r="D15" s="8">
        <f t="shared" si="2"/>
        <v>6206.1689077071942</v>
      </c>
      <c r="E15" s="8">
        <f t="shared" si="9"/>
        <v>37858.244890765949</v>
      </c>
      <c r="F15" s="8">
        <f t="shared" si="3"/>
        <v>2986.5405999669483</v>
      </c>
      <c r="G15" s="8">
        <f t="shared" si="10"/>
        <v>17298.012155278906</v>
      </c>
      <c r="H15" s="8">
        <f t="shared" si="0"/>
        <v>1860.0225</v>
      </c>
      <c r="I15" s="14">
        <f t="shared" si="4"/>
        <v>11052.732007674142</v>
      </c>
      <c r="J15" s="4">
        <f t="shared" si="5"/>
        <v>2986.5405999669483</v>
      </c>
      <c r="K15" s="4">
        <f t="shared" si="6"/>
        <v>6206.1689077071942</v>
      </c>
      <c r="L15" s="12"/>
    </row>
    <row r="16" spans="1:12" x14ac:dyDescent="0.2">
      <c r="A16" s="3">
        <f t="shared" si="7"/>
        <v>7</v>
      </c>
      <c r="B16" s="14">
        <f t="shared" si="8"/>
        <v>430001.98784472106</v>
      </c>
      <c r="C16" s="8">
        <f t="shared" si="1"/>
        <v>9192.7095076741425</v>
      </c>
      <c r="D16" s="8">
        <f t="shared" si="2"/>
        <v>6163.3618257743346</v>
      </c>
      <c r="E16" s="8">
        <f t="shared" si="9"/>
        <v>44021.606716540286</v>
      </c>
      <c r="F16" s="8">
        <f t="shared" si="3"/>
        <v>3029.3476818998079</v>
      </c>
      <c r="G16" s="8">
        <f t="shared" si="10"/>
        <v>20327.359837178716</v>
      </c>
      <c r="H16" s="8">
        <f t="shared" si="0"/>
        <v>1860.0225</v>
      </c>
      <c r="I16" s="14">
        <f t="shared" si="4"/>
        <v>11052.732007674142</v>
      </c>
      <c r="J16" s="4">
        <f t="shared" si="5"/>
        <v>3029.3476818998079</v>
      </c>
      <c r="K16" s="4">
        <f t="shared" si="6"/>
        <v>6163.3618257743346</v>
      </c>
      <c r="L16" s="12"/>
    </row>
    <row r="17" spans="1:11" x14ac:dyDescent="0.2">
      <c r="A17" s="3">
        <f t="shared" si="7"/>
        <v>8</v>
      </c>
      <c r="B17" s="14">
        <f t="shared" si="8"/>
        <v>426972.64016282128</v>
      </c>
      <c r="C17" s="8">
        <f t="shared" si="1"/>
        <v>9192.7095076741425</v>
      </c>
      <c r="D17" s="8">
        <f t="shared" si="2"/>
        <v>6119.9411756671043</v>
      </c>
      <c r="E17" s="8">
        <f t="shared" si="9"/>
        <v>50141.547892207389</v>
      </c>
      <c r="F17" s="8">
        <f t="shared" si="3"/>
        <v>3072.7683320070382</v>
      </c>
      <c r="G17" s="8">
        <f t="shared" si="10"/>
        <v>23400.128169185755</v>
      </c>
      <c r="H17" s="8">
        <f t="shared" si="0"/>
        <v>1860.0225</v>
      </c>
      <c r="I17" s="14">
        <f t="shared" si="4"/>
        <v>11052.732007674142</v>
      </c>
      <c r="J17" s="4">
        <f t="shared" si="5"/>
        <v>3072.7683320070382</v>
      </c>
      <c r="K17" s="4">
        <f t="shared" si="6"/>
        <v>6119.9411756671043</v>
      </c>
    </row>
    <row r="18" spans="1:11" x14ac:dyDescent="0.2">
      <c r="A18" s="3">
        <f t="shared" si="7"/>
        <v>9</v>
      </c>
      <c r="B18" s="14">
        <f t="shared" si="8"/>
        <v>423899.87183081423</v>
      </c>
      <c r="C18" s="8">
        <f t="shared" si="1"/>
        <v>9192.7095076741425</v>
      </c>
      <c r="D18" s="8">
        <f t="shared" si="2"/>
        <v>6075.8981629083364</v>
      </c>
      <c r="E18" s="8">
        <f t="shared" si="9"/>
        <v>56217.446055115724</v>
      </c>
      <c r="F18" s="8">
        <f t="shared" si="3"/>
        <v>3116.8113447658061</v>
      </c>
      <c r="G18" s="8">
        <f t="shared" si="10"/>
        <v>26516.939513951562</v>
      </c>
      <c r="H18" s="8">
        <f t="shared" si="0"/>
        <v>1860.0225</v>
      </c>
      <c r="I18" s="14">
        <f t="shared" si="4"/>
        <v>11052.732007674142</v>
      </c>
      <c r="J18" s="4">
        <f t="shared" si="5"/>
        <v>3116.8113447658056</v>
      </c>
      <c r="K18" s="4">
        <f t="shared" si="6"/>
        <v>6075.8981629083373</v>
      </c>
    </row>
    <row r="19" spans="1:11" x14ac:dyDescent="0.2">
      <c r="A19" s="3">
        <f t="shared" si="7"/>
        <v>10</v>
      </c>
      <c r="B19" s="14">
        <f t="shared" si="8"/>
        <v>420783.0604860484</v>
      </c>
      <c r="C19" s="8">
        <f t="shared" si="1"/>
        <v>9192.7095076741425</v>
      </c>
      <c r="D19" s="8">
        <f t="shared" si="2"/>
        <v>6031.2238669666931</v>
      </c>
      <c r="E19" s="8">
        <f t="shared" si="9"/>
        <v>62248.669922082416</v>
      </c>
      <c r="F19" s="8">
        <f t="shared" si="3"/>
        <v>3161.4856407074494</v>
      </c>
      <c r="G19" s="8">
        <f t="shared" si="10"/>
        <v>29678.425154659009</v>
      </c>
      <c r="H19" s="8">
        <f t="shared" si="0"/>
        <v>1860.0225</v>
      </c>
      <c r="I19" s="14">
        <f t="shared" si="4"/>
        <v>11052.732007674142</v>
      </c>
      <c r="J19" s="4">
        <f t="shared" si="5"/>
        <v>3161.4856407074494</v>
      </c>
      <c r="K19" s="4">
        <f t="shared" si="6"/>
        <v>6031.2238669666931</v>
      </c>
    </row>
    <row r="20" spans="1:11" x14ac:dyDescent="0.2">
      <c r="A20" s="3">
        <f t="shared" si="7"/>
        <v>11</v>
      </c>
      <c r="B20" s="14">
        <f t="shared" si="8"/>
        <v>417621.57484534098</v>
      </c>
      <c r="C20" s="8">
        <f t="shared" si="1"/>
        <v>9192.7095076741425</v>
      </c>
      <c r="D20" s="8">
        <f t="shared" si="2"/>
        <v>5985.9092394498866</v>
      </c>
      <c r="E20" s="8">
        <f t="shared" si="9"/>
        <v>68234.579161532296</v>
      </c>
      <c r="F20" s="8">
        <f t="shared" si="3"/>
        <v>3206.8002682242559</v>
      </c>
      <c r="G20" s="8">
        <f t="shared" si="10"/>
        <v>32885.225422883268</v>
      </c>
      <c r="H20" s="8">
        <f t="shared" si="0"/>
        <v>1860.0225</v>
      </c>
      <c r="I20" s="14">
        <f t="shared" si="4"/>
        <v>11052.732007674142</v>
      </c>
      <c r="J20" s="4">
        <f t="shared" si="5"/>
        <v>3206.8002682242559</v>
      </c>
      <c r="K20" s="4">
        <f t="shared" si="6"/>
        <v>5985.9092394498866</v>
      </c>
    </row>
    <row r="21" spans="1:11" x14ac:dyDescent="0.2">
      <c r="A21" s="3">
        <f t="shared" si="7"/>
        <v>12</v>
      </c>
      <c r="B21" s="14">
        <f t="shared" si="8"/>
        <v>414414.77457711671</v>
      </c>
      <c r="C21" s="8">
        <f t="shared" si="1"/>
        <v>9192.7095076741425</v>
      </c>
      <c r="D21" s="8">
        <f t="shared" si="2"/>
        <v>5939.9451022720059</v>
      </c>
      <c r="E21" s="8">
        <f t="shared" si="9"/>
        <v>74174.524263804298</v>
      </c>
      <c r="F21" s="8">
        <f t="shared" si="3"/>
        <v>3252.7644054021366</v>
      </c>
      <c r="G21" s="8">
        <f t="shared" si="10"/>
        <v>36137.989828285405</v>
      </c>
      <c r="H21" s="8">
        <f t="shared" si="0"/>
        <v>1860.0225</v>
      </c>
      <c r="I21" s="14">
        <f t="shared" si="4"/>
        <v>11052.732007674142</v>
      </c>
      <c r="J21" s="4">
        <f t="shared" si="5"/>
        <v>3252.7644054021366</v>
      </c>
      <c r="K21" s="4">
        <f t="shared" si="6"/>
        <v>5939.9451022720059</v>
      </c>
    </row>
    <row r="22" spans="1:11" x14ac:dyDescent="0.2">
      <c r="A22" s="3">
        <f t="shared" si="7"/>
        <v>13</v>
      </c>
      <c r="B22" s="14">
        <f t="shared" si="8"/>
        <v>411162.01017171459</v>
      </c>
      <c r="C22" s="8">
        <f t="shared" si="1"/>
        <v>9192.7095076741425</v>
      </c>
      <c r="D22" s="8">
        <f t="shared" si="2"/>
        <v>5893.3221457945747</v>
      </c>
      <c r="E22" s="8">
        <f t="shared" si="9"/>
        <v>80067.846409598875</v>
      </c>
      <c r="F22" s="8">
        <f t="shared" si="3"/>
        <v>3299.3873618795678</v>
      </c>
      <c r="G22" s="8">
        <f t="shared" si="10"/>
        <v>39437.377190164974</v>
      </c>
      <c r="H22" s="8">
        <f t="shared" ref="H22:H33" si="11">F$3/12</f>
        <v>1756.6879166666668</v>
      </c>
      <c r="I22" s="14">
        <f t="shared" si="4"/>
        <v>10949.397424340808</v>
      </c>
      <c r="J22" s="4">
        <f t="shared" si="5"/>
        <v>3299.3873618795669</v>
      </c>
      <c r="K22" s="4">
        <f t="shared" si="6"/>
        <v>5893.3221457945756</v>
      </c>
    </row>
    <row r="23" spans="1:11" x14ac:dyDescent="0.2">
      <c r="A23" s="3">
        <f t="shared" si="7"/>
        <v>14</v>
      </c>
      <c r="B23" s="14">
        <f t="shared" si="8"/>
        <v>407862.62280983501</v>
      </c>
      <c r="C23" s="8">
        <f t="shared" si="1"/>
        <v>9192.7095076741425</v>
      </c>
      <c r="D23" s="8">
        <f t="shared" si="2"/>
        <v>5846.0309269409681</v>
      </c>
      <c r="E23" s="8">
        <f t="shared" si="9"/>
        <v>85913.877336539837</v>
      </c>
      <c r="F23" s="8">
        <f t="shared" si="3"/>
        <v>3346.6785807331744</v>
      </c>
      <c r="G23" s="8">
        <f t="shared" si="10"/>
        <v>42784.055770898151</v>
      </c>
      <c r="H23" s="8">
        <f t="shared" si="11"/>
        <v>1756.6879166666668</v>
      </c>
      <c r="I23" s="14">
        <f t="shared" si="4"/>
        <v>10949.397424340808</v>
      </c>
      <c r="J23" s="4">
        <f t="shared" si="5"/>
        <v>3346.6785807331748</v>
      </c>
      <c r="K23" s="4">
        <f t="shared" si="6"/>
        <v>5846.0309269409681</v>
      </c>
    </row>
    <row r="24" spans="1:11" x14ac:dyDescent="0.2">
      <c r="A24" s="3">
        <f t="shared" si="7"/>
        <v>15</v>
      </c>
      <c r="B24" s="14">
        <f t="shared" si="8"/>
        <v>404515.94422910182</v>
      </c>
      <c r="C24" s="8">
        <f t="shared" si="1"/>
        <v>9192.7095076741425</v>
      </c>
      <c r="D24" s="8">
        <f t="shared" si="2"/>
        <v>5798.0618672837918</v>
      </c>
      <c r="E24" s="8">
        <f t="shared" si="9"/>
        <v>91711.939203823626</v>
      </c>
      <c r="F24" s="8">
        <f t="shared" si="3"/>
        <v>3394.6476403903507</v>
      </c>
      <c r="G24" s="8">
        <f t="shared" si="10"/>
        <v>46178.703411288501</v>
      </c>
      <c r="H24" s="8">
        <f t="shared" si="11"/>
        <v>1756.6879166666668</v>
      </c>
      <c r="I24" s="14">
        <f t="shared" si="4"/>
        <v>10949.397424340808</v>
      </c>
      <c r="J24" s="4">
        <f t="shared" si="5"/>
        <v>3394.6476403903498</v>
      </c>
      <c r="K24" s="4">
        <f t="shared" si="6"/>
        <v>5798.0618672837927</v>
      </c>
    </row>
    <row r="25" spans="1:11" x14ac:dyDescent="0.2">
      <c r="A25" s="3">
        <f t="shared" si="7"/>
        <v>16</v>
      </c>
      <c r="B25" s="14">
        <f t="shared" si="8"/>
        <v>401121.29658871144</v>
      </c>
      <c r="C25" s="8">
        <f t="shared" si="1"/>
        <v>9192.7095076741425</v>
      </c>
      <c r="D25" s="8">
        <f t="shared" si="2"/>
        <v>5749.4052511048631</v>
      </c>
      <c r="E25" s="8">
        <f t="shared" si="9"/>
        <v>97461.34445492849</v>
      </c>
      <c r="F25" s="8">
        <f t="shared" si="3"/>
        <v>3443.3042565692795</v>
      </c>
      <c r="G25" s="8">
        <f t="shared" si="10"/>
        <v>49622.007667857783</v>
      </c>
      <c r="H25" s="8">
        <f t="shared" si="11"/>
        <v>1756.6879166666668</v>
      </c>
      <c r="I25" s="14">
        <f t="shared" si="4"/>
        <v>10949.397424340808</v>
      </c>
      <c r="J25" s="4">
        <f t="shared" si="5"/>
        <v>3443.3042565692786</v>
      </c>
      <c r="K25" s="4">
        <f t="shared" si="6"/>
        <v>5749.405251104864</v>
      </c>
    </row>
    <row r="26" spans="1:11" x14ac:dyDescent="0.2">
      <c r="A26" s="3">
        <f t="shared" si="7"/>
        <v>17</v>
      </c>
      <c r="B26" s="14">
        <f t="shared" si="8"/>
        <v>397677.99233214214</v>
      </c>
      <c r="C26" s="8">
        <f t="shared" si="1"/>
        <v>9192.7095076741425</v>
      </c>
      <c r="D26" s="8">
        <f t="shared" si="2"/>
        <v>5700.0512234273701</v>
      </c>
      <c r="E26" s="8">
        <f t="shared" si="9"/>
        <v>103161.39567835585</v>
      </c>
      <c r="F26" s="8">
        <f t="shared" si="3"/>
        <v>3492.6582842467724</v>
      </c>
      <c r="G26" s="8">
        <f t="shared" si="10"/>
        <v>53114.665952104551</v>
      </c>
      <c r="H26" s="8">
        <f t="shared" si="11"/>
        <v>1756.6879166666668</v>
      </c>
      <c r="I26" s="14">
        <f t="shared" si="4"/>
        <v>10949.397424340808</v>
      </c>
      <c r="J26" s="4">
        <f t="shared" si="5"/>
        <v>3492.6582842467715</v>
      </c>
      <c r="K26" s="4">
        <f t="shared" si="6"/>
        <v>5700.051223427371</v>
      </c>
    </row>
    <row r="27" spans="1:11" x14ac:dyDescent="0.2">
      <c r="A27" s="3">
        <f t="shared" si="7"/>
        <v>18</v>
      </c>
      <c r="B27" s="14">
        <f t="shared" si="8"/>
        <v>394185.33404789539</v>
      </c>
      <c r="C27" s="8">
        <f t="shared" si="1"/>
        <v>9192.7095076741425</v>
      </c>
      <c r="D27" s="8">
        <f t="shared" si="2"/>
        <v>5649.9897880198332</v>
      </c>
      <c r="E27" s="8">
        <f t="shared" si="9"/>
        <v>108811.38546637568</v>
      </c>
      <c r="F27" s="8">
        <f t="shared" si="3"/>
        <v>3542.7197196543093</v>
      </c>
      <c r="G27" s="8">
        <f t="shared" si="10"/>
        <v>56657.385671758864</v>
      </c>
      <c r="H27" s="8">
        <f t="shared" si="11"/>
        <v>1756.6879166666668</v>
      </c>
      <c r="I27" s="14">
        <f t="shared" si="4"/>
        <v>10949.397424340808</v>
      </c>
      <c r="J27" s="4">
        <f t="shared" si="5"/>
        <v>3542.7197196543084</v>
      </c>
      <c r="K27" s="4">
        <f t="shared" si="6"/>
        <v>5649.9897880198341</v>
      </c>
    </row>
    <row r="28" spans="1:11" x14ac:dyDescent="0.2">
      <c r="A28" s="3">
        <f t="shared" si="7"/>
        <v>19</v>
      </c>
      <c r="B28" s="14">
        <f t="shared" si="8"/>
        <v>390642.61432824109</v>
      </c>
      <c r="C28" s="8">
        <f t="shared" si="1"/>
        <v>9192.7095076741425</v>
      </c>
      <c r="D28" s="8">
        <f t="shared" si="2"/>
        <v>5599.2108053714546</v>
      </c>
      <c r="E28" s="8">
        <f t="shared" si="9"/>
        <v>114410.59627174714</v>
      </c>
      <c r="F28" s="8">
        <f t="shared" si="3"/>
        <v>3593.4987023026879</v>
      </c>
      <c r="G28" s="8">
        <f t="shared" si="10"/>
        <v>60250.884374061556</v>
      </c>
      <c r="H28" s="8">
        <f t="shared" si="11"/>
        <v>1756.6879166666668</v>
      </c>
      <c r="I28" s="14">
        <f t="shared" si="4"/>
        <v>10949.397424340808</v>
      </c>
      <c r="J28" s="4">
        <f t="shared" si="5"/>
        <v>3593.498702302687</v>
      </c>
      <c r="K28" s="4">
        <f t="shared" si="6"/>
        <v>5599.2108053714555</v>
      </c>
    </row>
    <row r="29" spans="1:11" x14ac:dyDescent="0.2">
      <c r="A29" s="3">
        <f t="shared" si="7"/>
        <v>20</v>
      </c>
      <c r="B29" s="14">
        <f t="shared" si="8"/>
        <v>387049.1156259384</v>
      </c>
      <c r="C29" s="8">
        <f t="shared" si="1"/>
        <v>9192.7095076741425</v>
      </c>
      <c r="D29" s="8">
        <f t="shared" si="2"/>
        <v>5547.7039906384498</v>
      </c>
      <c r="E29" s="8">
        <f t="shared" si="9"/>
        <v>119958.30026238559</v>
      </c>
      <c r="F29" s="8">
        <f t="shared" si="3"/>
        <v>3645.0055170356927</v>
      </c>
      <c r="G29" s="8">
        <f t="shared" si="10"/>
        <v>63895.889891097249</v>
      </c>
      <c r="H29" s="8">
        <f t="shared" si="11"/>
        <v>1756.6879166666668</v>
      </c>
      <c r="I29" s="14">
        <f t="shared" si="4"/>
        <v>10949.397424340808</v>
      </c>
      <c r="J29" s="4">
        <f t="shared" si="5"/>
        <v>3645.0055170356918</v>
      </c>
      <c r="K29" s="4">
        <f t="shared" si="6"/>
        <v>5547.7039906384507</v>
      </c>
    </row>
    <row r="30" spans="1:11" x14ac:dyDescent="0.2">
      <c r="A30" s="3">
        <f t="shared" si="7"/>
        <v>21</v>
      </c>
      <c r="B30" s="14">
        <f t="shared" si="8"/>
        <v>383404.11010890274</v>
      </c>
      <c r="C30" s="8">
        <f t="shared" si="1"/>
        <v>9192.7095076741425</v>
      </c>
      <c r="D30" s="8">
        <f t="shared" si="2"/>
        <v>5495.4589115609388</v>
      </c>
      <c r="E30" s="8">
        <f t="shared" si="9"/>
        <v>125453.75917394653</v>
      </c>
      <c r="F30" s="8">
        <f t="shared" si="3"/>
        <v>3697.2505961132038</v>
      </c>
      <c r="G30" s="8">
        <f t="shared" si="10"/>
        <v>67593.140487210447</v>
      </c>
      <c r="H30" s="8">
        <f t="shared" si="11"/>
        <v>1756.6879166666668</v>
      </c>
      <c r="I30" s="14">
        <f t="shared" si="4"/>
        <v>10949.397424340808</v>
      </c>
      <c r="J30" s="4">
        <f t="shared" si="5"/>
        <v>3697.2505961132033</v>
      </c>
      <c r="K30" s="4">
        <f t="shared" si="6"/>
        <v>5495.4589115609397</v>
      </c>
    </row>
    <row r="31" spans="1:11" x14ac:dyDescent="0.2">
      <c r="A31" s="3">
        <f t="shared" si="7"/>
        <v>22</v>
      </c>
      <c r="B31" s="14">
        <f t="shared" si="8"/>
        <v>379706.85951278952</v>
      </c>
      <c r="C31" s="8">
        <f t="shared" si="1"/>
        <v>9192.7095076741425</v>
      </c>
      <c r="D31" s="8">
        <f t="shared" si="2"/>
        <v>5442.4649863499826</v>
      </c>
      <c r="E31" s="8">
        <f t="shared" si="9"/>
        <v>130896.22416029651</v>
      </c>
      <c r="F31" s="8">
        <f t="shared" si="3"/>
        <v>3750.2445213241599</v>
      </c>
      <c r="G31" s="8">
        <f t="shared" si="10"/>
        <v>71343.385008534606</v>
      </c>
      <c r="H31" s="8">
        <f t="shared" si="11"/>
        <v>1756.6879166666668</v>
      </c>
      <c r="I31" s="14">
        <f t="shared" si="4"/>
        <v>10949.397424340808</v>
      </c>
      <c r="J31" s="4">
        <f t="shared" si="5"/>
        <v>3750.2445213241595</v>
      </c>
      <c r="K31" s="4">
        <f t="shared" si="6"/>
        <v>5442.4649863499835</v>
      </c>
    </row>
    <row r="32" spans="1:11" x14ac:dyDescent="0.2">
      <c r="A32" s="3">
        <f t="shared" si="7"/>
        <v>23</v>
      </c>
      <c r="B32" s="14">
        <f t="shared" si="8"/>
        <v>375956.61499146535</v>
      </c>
      <c r="C32" s="8">
        <f t="shared" si="1"/>
        <v>9192.7095076741425</v>
      </c>
      <c r="D32" s="8">
        <f t="shared" si="2"/>
        <v>5388.7114815443365</v>
      </c>
      <c r="E32" s="8">
        <f t="shared" si="9"/>
        <v>136284.93564184086</v>
      </c>
      <c r="F32" s="8">
        <f t="shared" si="3"/>
        <v>3803.998026129806</v>
      </c>
      <c r="G32" s="8">
        <f t="shared" si="10"/>
        <v>75147.38303466441</v>
      </c>
      <c r="H32" s="8">
        <f t="shared" si="11"/>
        <v>1756.6879166666668</v>
      </c>
      <c r="I32" s="14">
        <f t="shared" si="4"/>
        <v>10949.397424340808</v>
      </c>
      <c r="J32" s="4">
        <f t="shared" si="5"/>
        <v>3803.9980261298056</v>
      </c>
      <c r="K32" s="4">
        <f t="shared" si="6"/>
        <v>5388.7114815443365</v>
      </c>
    </row>
    <row r="33" spans="1:11" x14ac:dyDescent="0.2">
      <c r="A33" s="3">
        <f t="shared" si="7"/>
        <v>24</v>
      </c>
      <c r="B33" s="14">
        <f t="shared" si="8"/>
        <v>372152.61696533556</v>
      </c>
      <c r="C33" s="8">
        <f t="shared" si="1"/>
        <v>9192.7095076741425</v>
      </c>
      <c r="D33" s="8">
        <f t="shared" si="2"/>
        <v>5334.1875098364753</v>
      </c>
      <c r="E33" s="8">
        <f t="shared" si="9"/>
        <v>141619.12315167734</v>
      </c>
      <c r="F33" s="8">
        <f t="shared" si="3"/>
        <v>3858.5219978376672</v>
      </c>
      <c r="G33" s="8">
        <f t="shared" si="10"/>
        <v>79005.90503250208</v>
      </c>
      <c r="H33" s="8">
        <f t="shared" si="11"/>
        <v>1756.6879166666668</v>
      </c>
      <c r="I33" s="14">
        <f t="shared" si="4"/>
        <v>10949.397424340808</v>
      </c>
      <c r="J33" s="4">
        <f t="shared" si="5"/>
        <v>3858.5219978376667</v>
      </c>
      <c r="K33" s="4">
        <f t="shared" si="6"/>
        <v>5334.1875098364762</v>
      </c>
    </row>
    <row r="34" spans="1:11" x14ac:dyDescent="0.2">
      <c r="A34" s="3">
        <f t="shared" si="7"/>
        <v>25</v>
      </c>
      <c r="B34" s="14">
        <f t="shared" si="8"/>
        <v>368294.09496749792</v>
      </c>
      <c r="C34" s="8">
        <f t="shared" si="1"/>
        <v>9192.7095076741425</v>
      </c>
      <c r="D34" s="8">
        <f t="shared" si="2"/>
        <v>5278.8820278674693</v>
      </c>
      <c r="E34" s="8">
        <f t="shared" si="9"/>
        <v>146898.00517954482</v>
      </c>
      <c r="F34" s="8">
        <f t="shared" si="3"/>
        <v>3913.8274798066732</v>
      </c>
      <c r="G34" s="8">
        <f t="shared" si="10"/>
        <v>82919.73251230875</v>
      </c>
      <c r="H34" s="8">
        <f t="shared" ref="H34:H45" si="12">F$4/12</f>
        <v>1653.3533333333335</v>
      </c>
      <c r="I34" s="14">
        <f t="shared" si="4"/>
        <v>10846.062841007475</v>
      </c>
      <c r="J34" s="4">
        <f t="shared" si="5"/>
        <v>3913.8274798066727</v>
      </c>
      <c r="K34" s="4">
        <f t="shared" si="6"/>
        <v>5278.8820278674702</v>
      </c>
    </row>
    <row r="35" spans="1:11" x14ac:dyDescent="0.2">
      <c r="A35" s="3">
        <f t="shared" si="7"/>
        <v>26</v>
      </c>
      <c r="B35" s="14">
        <f t="shared" si="8"/>
        <v>364380.26748769125</v>
      </c>
      <c r="C35" s="8">
        <f t="shared" si="1"/>
        <v>9192.7095076741425</v>
      </c>
      <c r="D35" s="8">
        <f t="shared" si="2"/>
        <v>5222.783833990241</v>
      </c>
      <c r="E35" s="8">
        <f t="shared" si="9"/>
        <v>152120.78901353508</v>
      </c>
      <c r="F35" s="8">
        <f t="shared" si="3"/>
        <v>3969.9256736839016</v>
      </c>
      <c r="G35" s="8">
        <f t="shared" si="10"/>
        <v>86889.658185992652</v>
      </c>
      <c r="H35" s="8">
        <f t="shared" si="12"/>
        <v>1653.3533333333335</v>
      </c>
      <c r="I35" s="14">
        <f t="shared" si="4"/>
        <v>10846.062841007475</v>
      </c>
      <c r="J35" s="4">
        <f t="shared" si="5"/>
        <v>3969.925673683902</v>
      </c>
      <c r="K35" s="4">
        <f t="shared" si="6"/>
        <v>5222.783833990241</v>
      </c>
    </row>
    <row r="36" spans="1:11" x14ac:dyDescent="0.2">
      <c r="A36" s="3">
        <f t="shared" si="7"/>
        <v>27</v>
      </c>
      <c r="B36" s="14">
        <f t="shared" si="8"/>
        <v>360410.34181400738</v>
      </c>
      <c r="C36" s="8">
        <f t="shared" si="1"/>
        <v>9192.7095076741425</v>
      </c>
      <c r="D36" s="8">
        <f t="shared" si="2"/>
        <v>5165.8815660007722</v>
      </c>
      <c r="E36" s="8">
        <f t="shared" si="9"/>
        <v>157286.67057953586</v>
      </c>
      <c r="F36" s="8">
        <f t="shared" si="3"/>
        <v>4026.8279416733703</v>
      </c>
      <c r="G36" s="8">
        <f t="shared" si="10"/>
        <v>90916.486127666023</v>
      </c>
      <c r="H36" s="8">
        <f t="shared" si="12"/>
        <v>1653.3533333333335</v>
      </c>
      <c r="I36" s="14">
        <f t="shared" si="4"/>
        <v>10846.062841007475</v>
      </c>
      <c r="J36" s="4">
        <f t="shared" si="5"/>
        <v>4026.8279416733717</v>
      </c>
      <c r="K36" s="4">
        <f t="shared" si="6"/>
        <v>5165.8815660007713</v>
      </c>
    </row>
    <row r="37" spans="1:11" x14ac:dyDescent="0.2">
      <c r="A37" s="3">
        <f t="shared" si="7"/>
        <v>28</v>
      </c>
      <c r="B37" s="14">
        <f t="shared" si="8"/>
        <v>356383.51387233404</v>
      </c>
      <c r="C37" s="8">
        <f t="shared" si="1"/>
        <v>9192.7095076741425</v>
      </c>
      <c r="D37" s="8">
        <f t="shared" si="2"/>
        <v>5108.1636988367873</v>
      </c>
      <c r="E37" s="8">
        <f t="shared" si="9"/>
        <v>162394.83427837264</v>
      </c>
      <c r="F37" s="8">
        <f t="shared" si="3"/>
        <v>4084.5458088373553</v>
      </c>
      <c r="G37" s="8">
        <f t="shared" si="10"/>
        <v>95001.031936503379</v>
      </c>
      <c r="H37" s="8">
        <f t="shared" si="12"/>
        <v>1653.3533333333335</v>
      </c>
      <c r="I37" s="14">
        <f t="shared" si="4"/>
        <v>10846.062841007475</v>
      </c>
      <c r="J37" s="4">
        <f t="shared" si="5"/>
        <v>4084.5458088373562</v>
      </c>
      <c r="K37" s="4">
        <f t="shared" si="6"/>
        <v>5108.1636988367864</v>
      </c>
    </row>
    <row r="38" spans="1:11" x14ac:dyDescent="0.2">
      <c r="A38" s="3">
        <f t="shared" si="7"/>
        <v>29</v>
      </c>
      <c r="B38" s="14">
        <f t="shared" si="8"/>
        <v>352298.96806349669</v>
      </c>
      <c r="C38" s="8">
        <f t="shared" si="1"/>
        <v>9192.7095076741425</v>
      </c>
      <c r="D38" s="8">
        <f t="shared" si="2"/>
        <v>5049.6185422434519</v>
      </c>
      <c r="E38" s="8">
        <f t="shared" si="9"/>
        <v>167444.4528206161</v>
      </c>
      <c r="F38" s="8">
        <f t="shared" si="3"/>
        <v>4143.0909654306906</v>
      </c>
      <c r="G38" s="8">
        <f t="shared" si="10"/>
        <v>99144.122901934068</v>
      </c>
      <c r="H38" s="8">
        <f t="shared" si="12"/>
        <v>1653.3533333333335</v>
      </c>
      <c r="I38" s="14">
        <f t="shared" si="4"/>
        <v>10846.062841007475</v>
      </c>
      <c r="J38" s="4">
        <f t="shared" si="5"/>
        <v>4143.0909654306915</v>
      </c>
      <c r="K38" s="4">
        <f t="shared" si="6"/>
        <v>5049.618542243451</v>
      </c>
    </row>
    <row r="39" spans="1:11" x14ac:dyDescent="0.2">
      <c r="A39" s="3">
        <f t="shared" si="7"/>
        <v>30</v>
      </c>
      <c r="B39" s="14">
        <f t="shared" si="8"/>
        <v>348155.87709806598</v>
      </c>
      <c r="C39" s="8">
        <f t="shared" si="1"/>
        <v>9192.7095076741425</v>
      </c>
      <c r="D39" s="8">
        <f t="shared" si="2"/>
        <v>4990.2342384056119</v>
      </c>
      <c r="E39" s="8">
        <f t="shared" si="9"/>
        <v>172434.68705902173</v>
      </c>
      <c r="F39" s="8">
        <f t="shared" si="3"/>
        <v>4202.4752692685306</v>
      </c>
      <c r="G39" s="8">
        <f t="shared" si="10"/>
        <v>103346.5981712026</v>
      </c>
      <c r="H39" s="8">
        <f t="shared" si="12"/>
        <v>1653.3533333333335</v>
      </c>
      <c r="I39" s="14">
        <f t="shared" si="4"/>
        <v>10846.062841007475</v>
      </c>
      <c r="J39" s="4">
        <f t="shared" si="5"/>
        <v>4202.4752692685315</v>
      </c>
      <c r="K39" s="4">
        <f t="shared" si="6"/>
        <v>4990.234238405611</v>
      </c>
    </row>
    <row r="40" spans="1:11" x14ac:dyDescent="0.2">
      <c r="A40" s="3">
        <f t="shared" si="7"/>
        <v>31</v>
      </c>
      <c r="B40" s="14">
        <f t="shared" si="8"/>
        <v>343953.40182879742</v>
      </c>
      <c r="C40" s="8">
        <f t="shared" si="1"/>
        <v>9192.7095076741425</v>
      </c>
      <c r="D40" s="8">
        <f t="shared" si="2"/>
        <v>4929.9987595460962</v>
      </c>
      <c r="E40" s="8">
        <f t="shared" si="9"/>
        <v>177364.68581856781</v>
      </c>
      <c r="F40" s="8">
        <f t="shared" si="3"/>
        <v>4262.7107481280464</v>
      </c>
      <c r="G40" s="8">
        <f t="shared" si="10"/>
        <v>107609.30891933064</v>
      </c>
      <c r="H40" s="8">
        <f t="shared" si="12"/>
        <v>1653.3533333333335</v>
      </c>
      <c r="I40" s="14">
        <f t="shared" si="4"/>
        <v>10846.062841007475</v>
      </c>
      <c r="J40" s="4">
        <f t="shared" si="5"/>
        <v>4262.7107481280464</v>
      </c>
      <c r="K40" s="4">
        <f t="shared" si="6"/>
        <v>4929.9987595460962</v>
      </c>
    </row>
    <row r="41" spans="1:11" x14ac:dyDescent="0.2">
      <c r="A41" s="3">
        <f t="shared" si="7"/>
        <v>32</v>
      </c>
      <c r="B41" s="14">
        <f t="shared" si="8"/>
        <v>339690.69108066935</v>
      </c>
      <c r="C41" s="8">
        <f t="shared" si="1"/>
        <v>9192.7095076741425</v>
      </c>
      <c r="D41" s="8">
        <f t="shared" si="2"/>
        <v>4868.899905489593</v>
      </c>
      <c r="E41" s="8">
        <f t="shared" si="9"/>
        <v>182233.5857240574</v>
      </c>
      <c r="F41" s="8">
        <f t="shared" si="3"/>
        <v>4323.8096021845495</v>
      </c>
      <c r="G41" s="8">
        <f t="shared" si="10"/>
        <v>111933.11852151519</v>
      </c>
      <c r="H41" s="8">
        <f t="shared" si="12"/>
        <v>1653.3533333333335</v>
      </c>
      <c r="I41" s="14">
        <f t="shared" si="4"/>
        <v>10846.062841007475</v>
      </c>
      <c r="J41" s="4">
        <f t="shared" si="5"/>
        <v>4323.8096021845495</v>
      </c>
      <c r="K41" s="4">
        <f t="shared" si="6"/>
        <v>4868.899905489593</v>
      </c>
    </row>
    <row r="42" spans="1:11" x14ac:dyDescent="0.2">
      <c r="A42" s="3">
        <f t="shared" si="7"/>
        <v>33</v>
      </c>
      <c r="B42" s="14">
        <f t="shared" si="8"/>
        <v>335366.88147848478</v>
      </c>
      <c r="C42" s="8">
        <f t="shared" si="1"/>
        <v>9192.7095076741425</v>
      </c>
      <c r="D42" s="8">
        <f t="shared" si="2"/>
        <v>4806.9253011916144</v>
      </c>
      <c r="E42" s="8">
        <f t="shared" si="9"/>
        <v>187040.511025249</v>
      </c>
      <c r="F42" s="8">
        <f t="shared" si="3"/>
        <v>4385.7842064825281</v>
      </c>
      <c r="G42" s="8">
        <f t="shared" si="10"/>
        <v>116318.90272799772</v>
      </c>
      <c r="H42" s="8">
        <f t="shared" si="12"/>
        <v>1653.3533333333335</v>
      </c>
      <c r="I42" s="14">
        <f t="shared" si="4"/>
        <v>10846.062841007475</v>
      </c>
      <c r="J42" s="4">
        <f t="shared" si="5"/>
        <v>4385.7842064825272</v>
      </c>
      <c r="K42" s="4">
        <f t="shared" si="6"/>
        <v>4806.9253011916153</v>
      </c>
    </row>
    <row r="43" spans="1:11" x14ac:dyDescent="0.2">
      <c r="A43" s="3">
        <f t="shared" si="7"/>
        <v>34</v>
      </c>
      <c r="B43" s="14">
        <f t="shared" si="8"/>
        <v>330981.09727200225</v>
      </c>
      <c r="C43" s="8">
        <f t="shared" si="1"/>
        <v>9192.7095076741425</v>
      </c>
      <c r="D43" s="8">
        <f t="shared" si="2"/>
        <v>4744.0623942320317</v>
      </c>
      <c r="E43" s="8">
        <f t="shared" si="9"/>
        <v>191784.57341948102</v>
      </c>
      <c r="F43" s="8">
        <f t="shared" si="3"/>
        <v>4448.6471134421108</v>
      </c>
      <c r="G43" s="8">
        <f t="shared" si="10"/>
        <v>120767.54984143983</v>
      </c>
      <c r="H43" s="8">
        <f t="shared" si="12"/>
        <v>1653.3533333333335</v>
      </c>
      <c r="I43" s="14">
        <f t="shared" si="4"/>
        <v>10846.062841007475</v>
      </c>
      <c r="J43" s="4">
        <f t="shared" si="5"/>
        <v>4448.6471134421108</v>
      </c>
      <c r="K43" s="4">
        <f t="shared" si="6"/>
        <v>4744.0623942320317</v>
      </c>
    </row>
    <row r="44" spans="1:11" x14ac:dyDescent="0.2">
      <c r="A44" s="3">
        <f t="shared" si="7"/>
        <v>35</v>
      </c>
      <c r="B44" s="14">
        <f t="shared" si="8"/>
        <v>326532.45015856012</v>
      </c>
      <c r="C44" s="8">
        <f t="shared" si="1"/>
        <v>9192.7095076741425</v>
      </c>
      <c r="D44" s="8">
        <f t="shared" si="2"/>
        <v>4680.2984522726947</v>
      </c>
      <c r="E44" s="8">
        <f t="shared" si="9"/>
        <v>196464.87187175371</v>
      </c>
      <c r="F44" s="8">
        <f t="shared" si="3"/>
        <v>4512.4110554014478</v>
      </c>
      <c r="G44" s="8">
        <f t="shared" si="10"/>
        <v>125279.96089684128</v>
      </c>
      <c r="H44" s="8">
        <f t="shared" si="12"/>
        <v>1653.3533333333335</v>
      </c>
      <c r="I44" s="14">
        <f t="shared" si="4"/>
        <v>10846.062841007475</v>
      </c>
      <c r="J44" s="4">
        <f t="shared" si="5"/>
        <v>4512.4110554014469</v>
      </c>
      <c r="K44" s="4">
        <f t="shared" si="6"/>
        <v>4680.2984522726956</v>
      </c>
    </row>
    <row r="45" spans="1:11" x14ac:dyDescent="0.2">
      <c r="A45" s="3">
        <f t="shared" si="7"/>
        <v>36</v>
      </c>
      <c r="B45" s="14">
        <f t="shared" si="8"/>
        <v>322020.03910315869</v>
      </c>
      <c r="C45" s="8">
        <f t="shared" si="1"/>
        <v>9192.7095076741425</v>
      </c>
      <c r="D45" s="8">
        <f t="shared" si="2"/>
        <v>4615.6205604786073</v>
      </c>
      <c r="E45" s="8">
        <f t="shared" si="9"/>
        <v>201080.49243223231</v>
      </c>
      <c r="F45" s="8">
        <f t="shared" si="3"/>
        <v>4577.0889471955352</v>
      </c>
      <c r="G45" s="8">
        <f t="shared" si="10"/>
        <v>129857.04984403681</v>
      </c>
      <c r="H45" s="8">
        <f t="shared" si="12"/>
        <v>1653.3533333333335</v>
      </c>
      <c r="I45" s="14">
        <f t="shared" si="4"/>
        <v>10846.062841007475</v>
      </c>
      <c r="J45" s="4">
        <f t="shared" si="5"/>
        <v>4577.0889471955352</v>
      </c>
      <c r="K45" s="4">
        <f t="shared" si="6"/>
        <v>4615.6205604786073</v>
      </c>
    </row>
    <row r="46" spans="1:11" x14ac:dyDescent="0.2">
      <c r="A46" s="3">
        <f t="shared" si="7"/>
        <v>37</v>
      </c>
      <c r="B46" s="14">
        <f t="shared" si="8"/>
        <v>317442.95015596313</v>
      </c>
      <c r="C46" s="8">
        <f t="shared" si="1"/>
        <v>9192.7095076741425</v>
      </c>
      <c r="D46" s="8">
        <f t="shared" si="2"/>
        <v>4550.0156189021372</v>
      </c>
      <c r="E46" s="8">
        <f t="shared" si="9"/>
        <v>205630.50805113444</v>
      </c>
      <c r="F46" s="8">
        <f t="shared" si="3"/>
        <v>4642.6938887720053</v>
      </c>
      <c r="G46" s="8">
        <f t="shared" si="10"/>
        <v>134499.74373280883</v>
      </c>
      <c r="H46" s="8">
        <f t="shared" ref="H46:H57" si="13">F$5/12</f>
        <v>1550.01875</v>
      </c>
      <c r="I46" s="14">
        <f t="shared" si="4"/>
        <v>10742.728257674142</v>
      </c>
      <c r="J46" s="4">
        <f t="shared" si="5"/>
        <v>4642.6938887720044</v>
      </c>
      <c r="K46" s="4">
        <f t="shared" si="6"/>
        <v>4550.0156189021382</v>
      </c>
    </row>
    <row r="47" spans="1:11" x14ac:dyDescent="0.2">
      <c r="A47" s="3">
        <f t="shared" si="7"/>
        <v>38</v>
      </c>
      <c r="B47" s="14">
        <f t="shared" si="8"/>
        <v>312800.25626719114</v>
      </c>
      <c r="C47" s="8">
        <f t="shared" si="1"/>
        <v>9192.7095076741425</v>
      </c>
      <c r="D47" s="8">
        <f t="shared" si="2"/>
        <v>4483.4703398297388</v>
      </c>
      <c r="E47" s="8">
        <f t="shared" si="9"/>
        <v>210113.97839096418</v>
      </c>
      <c r="F47" s="8">
        <f t="shared" si="3"/>
        <v>4709.2391678444037</v>
      </c>
      <c r="G47" s="8">
        <f t="shared" si="10"/>
        <v>139208.98290065324</v>
      </c>
      <c r="H47" s="8">
        <f t="shared" si="13"/>
        <v>1550.01875</v>
      </c>
      <c r="I47" s="14">
        <f t="shared" si="4"/>
        <v>10742.728257674142</v>
      </c>
      <c r="J47" s="4">
        <f t="shared" si="5"/>
        <v>4709.2391678444037</v>
      </c>
      <c r="K47" s="4">
        <f t="shared" si="6"/>
        <v>4483.4703398297388</v>
      </c>
    </row>
    <row r="48" spans="1:11" x14ac:dyDescent="0.2">
      <c r="A48" s="3">
        <f t="shared" si="7"/>
        <v>39</v>
      </c>
      <c r="B48" s="14">
        <f t="shared" si="8"/>
        <v>308091.01709934673</v>
      </c>
      <c r="C48" s="8">
        <f t="shared" si="1"/>
        <v>9192.7095076741425</v>
      </c>
      <c r="D48" s="8">
        <f t="shared" si="2"/>
        <v>4415.9712450906363</v>
      </c>
      <c r="E48" s="8">
        <f t="shared" si="9"/>
        <v>214529.94963605481</v>
      </c>
      <c r="F48" s="8">
        <f t="shared" si="3"/>
        <v>4776.7382625835062</v>
      </c>
      <c r="G48" s="8">
        <f t="shared" si="10"/>
        <v>143985.72116323674</v>
      </c>
      <c r="H48" s="8">
        <f t="shared" si="13"/>
        <v>1550.01875</v>
      </c>
      <c r="I48" s="14">
        <f t="shared" si="4"/>
        <v>10742.728257674142</v>
      </c>
      <c r="J48" s="4">
        <f t="shared" si="5"/>
        <v>4776.7382625835053</v>
      </c>
      <c r="K48" s="4">
        <f t="shared" si="6"/>
        <v>4415.9712450906372</v>
      </c>
    </row>
    <row r="49" spans="1:11" x14ac:dyDescent="0.2">
      <c r="A49" s="3">
        <f t="shared" si="7"/>
        <v>40</v>
      </c>
      <c r="B49" s="14">
        <f t="shared" si="8"/>
        <v>303314.27883676323</v>
      </c>
      <c r="C49" s="8">
        <f t="shared" si="1"/>
        <v>9192.7095076741425</v>
      </c>
      <c r="D49" s="8">
        <f t="shared" si="2"/>
        <v>4347.5046633269394</v>
      </c>
      <c r="E49" s="8">
        <f t="shared" si="9"/>
        <v>218877.45429938176</v>
      </c>
      <c r="F49" s="8">
        <f t="shared" si="3"/>
        <v>4845.2048443472031</v>
      </c>
      <c r="G49" s="8">
        <f t="shared" si="10"/>
        <v>148830.92600758394</v>
      </c>
      <c r="H49" s="8">
        <f t="shared" si="13"/>
        <v>1550.01875</v>
      </c>
      <c r="I49" s="14">
        <f t="shared" si="4"/>
        <v>10742.728257674142</v>
      </c>
      <c r="J49" s="4">
        <f t="shared" si="5"/>
        <v>4845.2048443472022</v>
      </c>
      <c r="K49" s="4">
        <f t="shared" si="6"/>
        <v>4347.5046633269403</v>
      </c>
    </row>
    <row r="50" spans="1:11" x14ac:dyDescent="0.2">
      <c r="A50" s="3">
        <f t="shared" si="7"/>
        <v>41</v>
      </c>
      <c r="B50" s="14">
        <f t="shared" si="8"/>
        <v>298469.07399241603</v>
      </c>
      <c r="C50" s="8">
        <f t="shared" si="1"/>
        <v>9192.7095076741425</v>
      </c>
      <c r="D50" s="8">
        <f t="shared" si="2"/>
        <v>4278.056727224629</v>
      </c>
      <c r="E50" s="8">
        <f t="shared" si="9"/>
        <v>223155.5110266064</v>
      </c>
      <c r="F50" s="8">
        <f t="shared" si="3"/>
        <v>4914.6527804495136</v>
      </c>
      <c r="G50" s="8">
        <f t="shared" si="10"/>
        <v>153745.57878803345</v>
      </c>
      <c r="H50" s="8">
        <f t="shared" si="13"/>
        <v>1550.01875</v>
      </c>
      <c r="I50" s="14">
        <f t="shared" si="4"/>
        <v>10742.728257674142</v>
      </c>
      <c r="J50" s="4">
        <f t="shared" si="5"/>
        <v>4914.6527804495117</v>
      </c>
      <c r="K50" s="4">
        <f t="shared" si="6"/>
        <v>4278.0567272246308</v>
      </c>
    </row>
    <row r="51" spans="1:11" x14ac:dyDescent="0.2">
      <c r="A51" s="3">
        <f t="shared" si="7"/>
        <v>42</v>
      </c>
      <c r="B51" s="14">
        <f t="shared" si="8"/>
        <v>293554.42121196649</v>
      </c>
      <c r="C51" s="8">
        <f t="shared" si="1"/>
        <v>9192.7095076741425</v>
      </c>
      <c r="D51" s="8">
        <f t="shared" si="2"/>
        <v>4207.6133707048521</v>
      </c>
      <c r="E51" s="8">
        <f t="shared" si="9"/>
        <v>227363.12439731124</v>
      </c>
      <c r="F51" s="8">
        <f t="shared" si="3"/>
        <v>4985.0961369692905</v>
      </c>
      <c r="G51" s="8">
        <f t="shared" si="10"/>
        <v>158730.67492500274</v>
      </c>
      <c r="H51" s="8">
        <f t="shared" si="13"/>
        <v>1550.01875</v>
      </c>
      <c r="I51" s="14">
        <f t="shared" si="4"/>
        <v>10742.728257674142</v>
      </c>
      <c r="J51" s="4">
        <f t="shared" si="5"/>
        <v>4985.0961369692895</v>
      </c>
      <c r="K51" s="4">
        <f t="shared" si="6"/>
        <v>4207.613370704853</v>
      </c>
    </row>
    <row r="52" spans="1:11" x14ac:dyDescent="0.2">
      <c r="A52" s="3">
        <f t="shared" si="7"/>
        <v>43</v>
      </c>
      <c r="B52" s="14">
        <f t="shared" si="8"/>
        <v>288569.32507499721</v>
      </c>
      <c r="C52" s="8">
        <f t="shared" si="1"/>
        <v>9192.7095076741425</v>
      </c>
      <c r="D52" s="8">
        <f t="shared" si="2"/>
        <v>4136.1603260749598</v>
      </c>
      <c r="E52" s="8">
        <f t="shared" si="9"/>
        <v>231499.2847233862</v>
      </c>
      <c r="F52" s="8">
        <f t="shared" si="3"/>
        <v>5056.5491815991827</v>
      </c>
      <c r="G52" s="8">
        <f t="shared" si="10"/>
        <v>163787.22410660191</v>
      </c>
      <c r="H52" s="8">
        <f t="shared" si="13"/>
        <v>1550.01875</v>
      </c>
      <c r="I52" s="14">
        <f t="shared" si="4"/>
        <v>10742.728257674142</v>
      </c>
      <c r="J52" s="4">
        <f t="shared" si="5"/>
        <v>5056.5491815991818</v>
      </c>
      <c r="K52" s="4">
        <f t="shared" si="6"/>
        <v>4136.1603260749607</v>
      </c>
    </row>
    <row r="53" spans="1:11" x14ac:dyDescent="0.2">
      <c r="A53" s="3">
        <f t="shared" si="7"/>
        <v>44</v>
      </c>
      <c r="B53" s="14">
        <f t="shared" si="8"/>
        <v>283512.77589339804</v>
      </c>
      <c r="C53" s="8">
        <f t="shared" si="1"/>
        <v>9192.7095076741425</v>
      </c>
      <c r="D53" s="8">
        <f t="shared" si="2"/>
        <v>4063.6831211387048</v>
      </c>
      <c r="E53" s="8">
        <f t="shared" si="9"/>
        <v>235562.96784452492</v>
      </c>
      <c r="F53" s="8">
        <f t="shared" si="3"/>
        <v>5129.0263865354373</v>
      </c>
      <c r="G53" s="8">
        <f t="shared" si="10"/>
        <v>168916.25049313734</v>
      </c>
      <c r="H53" s="8">
        <f t="shared" si="13"/>
        <v>1550.01875</v>
      </c>
      <c r="I53" s="14">
        <f t="shared" si="4"/>
        <v>10742.728257674142</v>
      </c>
      <c r="J53" s="4">
        <f t="shared" si="5"/>
        <v>5129.0263865354373</v>
      </c>
      <c r="K53" s="4">
        <f t="shared" si="6"/>
        <v>4063.6831211387052</v>
      </c>
    </row>
    <row r="54" spans="1:11" x14ac:dyDescent="0.2">
      <c r="A54" s="3">
        <f t="shared" si="7"/>
        <v>45</v>
      </c>
      <c r="B54" s="14">
        <f t="shared" si="8"/>
        <v>278383.7495068626</v>
      </c>
      <c r="C54" s="8">
        <f t="shared" si="1"/>
        <v>9192.7095076741425</v>
      </c>
      <c r="D54" s="8">
        <f t="shared" si="2"/>
        <v>3990.1670762650301</v>
      </c>
      <c r="E54" s="8">
        <f t="shared" si="9"/>
        <v>239553.13492078995</v>
      </c>
      <c r="F54" s="8">
        <f t="shared" si="3"/>
        <v>5202.5424314091124</v>
      </c>
      <c r="G54" s="8">
        <f t="shared" si="10"/>
        <v>174118.79292454646</v>
      </c>
      <c r="H54" s="8">
        <f t="shared" si="13"/>
        <v>1550.01875</v>
      </c>
      <c r="I54" s="14">
        <f t="shared" si="4"/>
        <v>10742.728257674142</v>
      </c>
      <c r="J54" s="4">
        <f t="shared" si="5"/>
        <v>5202.5424314091115</v>
      </c>
      <c r="K54" s="4">
        <f t="shared" si="6"/>
        <v>3990.167076265031</v>
      </c>
    </row>
    <row r="55" spans="1:11" x14ac:dyDescent="0.2">
      <c r="A55" s="3">
        <f t="shared" si="7"/>
        <v>46</v>
      </c>
      <c r="B55" s="14">
        <f t="shared" si="8"/>
        <v>273181.20707545348</v>
      </c>
      <c r="C55" s="8">
        <f t="shared" si="1"/>
        <v>9192.7095076741425</v>
      </c>
      <c r="D55" s="8">
        <f t="shared" si="2"/>
        <v>3915.5973014148326</v>
      </c>
      <c r="E55" s="8">
        <f t="shared" si="9"/>
        <v>243468.73222220477</v>
      </c>
      <c r="F55" s="8">
        <f t="shared" si="3"/>
        <v>5277.1122062593095</v>
      </c>
      <c r="G55" s="8">
        <f t="shared" si="10"/>
        <v>179395.90513080577</v>
      </c>
      <c r="H55" s="8">
        <f t="shared" si="13"/>
        <v>1550.01875</v>
      </c>
      <c r="I55" s="14">
        <f t="shared" si="4"/>
        <v>10742.728257674142</v>
      </c>
      <c r="J55" s="4">
        <f t="shared" si="5"/>
        <v>5277.1122062593076</v>
      </c>
      <c r="K55" s="4">
        <f t="shared" si="6"/>
        <v>3915.5973014148349</v>
      </c>
    </row>
    <row r="56" spans="1:11" x14ac:dyDescent="0.2">
      <c r="A56" s="3">
        <f t="shared" si="7"/>
        <v>47</v>
      </c>
      <c r="B56" s="14">
        <f t="shared" si="8"/>
        <v>267904.09486919414</v>
      </c>
      <c r="C56" s="8">
        <f t="shared" si="1"/>
        <v>9192.7095076741425</v>
      </c>
      <c r="D56" s="8">
        <f t="shared" si="2"/>
        <v>3839.9586931251156</v>
      </c>
      <c r="E56" s="8">
        <f t="shared" si="9"/>
        <v>247308.69091532988</v>
      </c>
      <c r="F56" s="8">
        <f t="shared" si="3"/>
        <v>5352.7508145490265</v>
      </c>
      <c r="G56" s="8">
        <f t="shared" si="10"/>
        <v>184748.65594535478</v>
      </c>
      <c r="H56" s="8">
        <f t="shared" si="13"/>
        <v>1550.01875</v>
      </c>
      <c r="I56" s="14">
        <f t="shared" si="4"/>
        <v>10742.728257674142</v>
      </c>
      <c r="J56" s="4">
        <f t="shared" si="5"/>
        <v>5352.7508145490256</v>
      </c>
      <c r="K56" s="4">
        <f t="shared" si="6"/>
        <v>3839.958693125117</v>
      </c>
    </row>
    <row r="57" spans="1:11" x14ac:dyDescent="0.2">
      <c r="A57" s="3">
        <f t="shared" si="7"/>
        <v>48</v>
      </c>
      <c r="B57" s="14">
        <f t="shared" si="8"/>
        <v>262551.3440546451</v>
      </c>
      <c r="C57" s="8">
        <f t="shared" si="1"/>
        <v>9192.7095076741425</v>
      </c>
      <c r="D57" s="8">
        <f t="shared" si="2"/>
        <v>3763.2359314499126</v>
      </c>
      <c r="E57" s="8">
        <f t="shared" si="9"/>
        <v>251071.9268467798</v>
      </c>
      <c r="F57" s="8">
        <f t="shared" si="3"/>
        <v>5429.4735762242299</v>
      </c>
      <c r="G57" s="8">
        <f t="shared" si="10"/>
        <v>190178.12952157902</v>
      </c>
      <c r="H57" s="8">
        <f t="shared" si="13"/>
        <v>1550.01875</v>
      </c>
      <c r="I57" s="14">
        <f t="shared" si="4"/>
        <v>10742.728257674142</v>
      </c>
      <c r="J57" s="4">
        <f t="shared" si="5"/>
        <v>5429.4735762242281</v>
      </c>
      <c r="K57" s="4">
        <f t="shared" si="6"/>
        <v>3763.2359314499145</v>
      </c>
    </row>
    <row r="58" spans="1:11" x14ac:dyDescent="0.2">
      <c r="A58" s="3">
        <f t="shared" si="7"/>
        <v>49</v>
      </c>
      <c r="B58" s="14">
        <f t="shared" si="8"/>
        <v>257121.87047842087</v>
      </c>
      <c r="C58" s="8">
        <f t="shared" si="1"/>
        <v>9192.7095076741425</v>
      </c>
      <c r="D58" s="8">
        <f t="shared" si="2"/>
        <v>3685.4134768573654</v>
      </c>
      <c r="E58" s="8">
        <f t="shared" si="9"/>
        <v>254757.34032363715</v>
      </c>
      <c r="F58" s="8">
        <f t="shared" si="3"/>
        <v>5507.2960308167767</v>
      </c>
      <c r="G58" s="8">
        <f t="shared" si="10"/>
        <v>195685.42555239578</v>
      </c>
      <c r="H58" s="8">
        <f t="shared" ref="H58:H69" si="14">F$6/12</f>
        <v>1446.6841666666667</v>
      </c>
      <c r="I58" s="14">
        <f t="shared" si="4"/>
        <v>10639.393674340809</v>
      </c>
      <c r="J58" s="4">
        <f t="shared" si="5"/>
        <v>5507.2960308167758</v>
      </c>
      <c r="K58" s="4">
        <f t="shared" si="6"/>
        <v>3685.4134768573667</v>
      </c>
    </row>
    <row r="59" spans="1:11" x14ac:dyDescent="0.2">
      <c r="A59" s="3">
        <f t="shared" si="7"/>
        <v>50</v>
      </c>
      <c r="B59" s="14">
        <f t="shared" si="8"/>
        <v>251614.5744476041</v>
      </c>
      <c r="C59" s="8">
        <f t="shared" si="1"/>
        <v>9192.7095076741425</v>
      </c>
      <c r="D59" s="8">
        <f t="shared" si="2"/>
        <v>3606.4755670823251</v>
      </c>
      <c r="E59" s="8">
        <f t="shared" si="9"/>
        <v>258363.81589071947</v>
      </c>
      <c r="F59" s="8">
        <f t="shared" si="3"/>
        <v>5586.2339405918174</v>
      </c>
      <c r="G59" s="8">
        <f t="shared" si="10"/>
        <v>201271.65949298762</v>
      </c>
      <c r="H59" s="8">
        <f t="shared" si="14"/>
        <v>1446.6841666666667</v>
      </c>
      <c r="I59" s="14">
        <f t="shared" si="4"/>
        <v>10639.393674340809</v>
      </c>
      <c r="J59" s="4">
        <f t="shared" si="5"/>
        <v>5586.2339405918165</v>
      </c>
      <c r="K59" s="4">
        <f t="shared" si="6"/>
        <v>3606.4755670823261</v>
      </c>
    </row>
    <row r="60" spans="1:11" x14ac:dyDescent="0.2">
      <c r="A60" s="3">
        <f t="shared" si="7"/>
        <v>51</v>
      </c>
      <c r="B60" s="14">
        <f t="shared" si="8"/>
        <v>246028.34050701227</v>
      </c>
      <c r="C60" s="8">
        <f t="shared" si="1"/>
        <v>9192.7095076741425</v>
      </c>
      <c r="D60" s="8">
        <f t="shared" si="2"/>
        <v>3526.4062139338421</v>
      </c>
      <c r="E60" s="8">
        <f t="shared" si="9"/>
        <v>261890.22210465331</v>
      </c>
      <c r="F60" s="8">
        <f t="shared" si="3"/>
        <v>5666.3032937403004</v>
      </c>
      <c r="G60" s="8">
        <f t="shared" si="10"/>
        <v>206937.96278672791</v>
      </c>
      <c r="H60" s="8">
        <f t="shared" si="14"/>
        <v>1446.6841666666667</v>
      </c>
      <c r="I60" s="14">
        <f t="shared" si="4"/>
        <v>10639.393674340809</v>
      </c>
      <c r="J60" s="4">
        <f t="shared" si="5"/>
        <v>5666.3032937402986</v>
      </c>
      <c r="K60" s="4">
        <f t="shared" si="6"/>
        <v>3526.4062139338439</v>
      </c>
    </row>
    <row r="61" spans="1:11" x14ac:dyDescent="0.2">
      <c r="A61" s="3">
        <f t="shared" si="7"/>
        <v>52</v>
      </c>
      <c r="B61" s="14">
        <f t="shared" si="8"/>
        <v>240362.03721327198</v>
      </c>
      <c r="C61" s="8">
        <f t="shared" si="1"/>
        <v>9192.7095076741425</v>
      </c>
      <c r="D61" s="8">
        <f t="shared" si="2"/>
        <v>3445.1892000568978</v>
      </c>
      <c r="E61" s="8">
        <f t="shared" si="9"/>
        <v>265335.4113047102</v>
      </c>
      <c r="F61" s="8">
        <f t="shared" si="3"/>
        <v>5747.5203076172447</v>
      </c>
      <c r="G61" s="8">
        <f t="shared" si="10"/>
        <v>212685.48309434514</v>
      </c>
      <c r="H61" s="8">
        <f t="shared" si="14"/>
        <v>1446.6841666666667</v>
      </c>
      <c r="I61" s="14">
        <f t="shared" si="4"/>
        <v>10639.393674340809</v>
      </c>
      <c r="J61" s="4">
        <f t="shared" si="5"/>
        <v>5747.5203076172429</v>
      </c>
      <c r="K61" s="4">
        <f t="shared" si="6"/>
        <v>3445.1892000568996</v>
      </c>
    </row>
    <row r="62" spans="1:11" x14ac:dyDescent="0.2">
      <c r="A62" s="3">
        <f t="shared" si="7"/>
        <v>53</v>
      </c>
      <c r="B62" s="14">
        <f t="shared" si="8"/>
        <v>234614.51690565475</v>
      </c>
      <c r="C62" s="8">
        <f t="shared" si="1"/>
        <v>9192.7095076741425</v>
      </c>
      <c r="D62" s="8">
        <f t="shared" si="2"/>
        <v>3362.8080756477175</v>
      </c>
      <c r="E62" s="8">
        <f t="shared" si="9"/>
        <v>268698.21938035794</v>
      </c>
      <c r="F62" s="8">
        <f t="shared" si="3"/>
        <v>5829.901432026425</v>
      </c>
      <c r="G62" s="8">
        <f t="shared" si="10"/>
        <v>218515.38452637155</v>
      </c>
      <c r="H62" s="8">
        <f t="shared" si="14"/>
        <v>1446.6841666666667</v>
      </c>
      <c r="I62" s="14">
        <f t="shared" si="4"/>
        <v>10639.393674340809</v>
      </c>
      <c r="J62" s="4">
        <f t="shared" si="5"/>
        <v>5829.9014320264232</v>
      </c>
      <c r="K62" s="4">
        <f t="shared" si="6"/>
        <v>3362.8080756477193</v>
      </c>
    </row>
    <row r="63" spans="1:11" x14ac:dyDescent="0.2">
      <c r="A63" s="3">
        <f t="shared" si="7"/>
        <v>54</v>
      </c>
      <c r="B63" s="14">
        <f t="shared" si="8"/>
        <v>228784.61547362834</v>
      </c>
      <c r="C63" s="8">
        <f t="shared" si="1"/>
        <v>9192.7095076741425</v>
      </c>
      <c r="D63" s="8">
        <f t="shared" si="2"/>
        <v>3279.2461551220058</v>
      </c>
      <c r="E63" s="8">
        <f t="shared" si="9"/>
        <v>271977.46553547995</v>
      </c>
      <c r="F63" s="8">
        <f t="shared" si="3"/>
        <v>5913.4633525521367</v>
      </c>
      <c r="G63" s="8">
        <f t="shared" si="10"/>
        <v>224428.8478789237</v>
      </c>
      <c r="H63" s="8">
        <f t="shared" si="14"/>
        <v>1446.6841666666667</v>
      </c>
      <c r="I63" s="14">
        <f t="shared" si="4"/>
        <v>10639.393674340809</v>
      </c>
      <c r="J63" s="4">
        <f t="shared" si="5"/>
        <v>5913.4633525521349</v>
      </c>
      <c r="K63" s="4">
        <f t="shared" si="6"/>
        <v>3279.2461551220076</v>
      </c>
    </row>
    <row r="64" spans="1:11" x14ac:dyDescent="0.2">
      <c r="A64" s="3">
        <f t="shared" si="7"/>
        <v>55</v>
      </c>
      <c r="B64" s="14">
        <f t="shared" si="8"/>
        <v>222871.15212107619</v>
      </c>
      <c r="C64" s="8">
        <f t="shared" si="1"/>
        <v>9192.7095076741425</v>
      </c>
      <c r="D64" s="8">
        <f t="shared" si="2"/>
        <v>3194.486513735425</v>
      </c>
      <c r="E64" s="8">
        <f t="shared" si="9"/>
        <v>275171.95204921538</v>
      </c>
      <c r="F64" s="8">
        <f t="shared" si="3"/>
        <v>5998.222993938718</v>
      </c>
      <c r="G64" s="8">
        <f t="shared" si="10"/>
        <v>230427.07087286242</v>
      </c>
      <c r="H64" s="8">
        <f t="shared" si="14"/>
        <v>1446.6841666666667</v>
      </c>
      <c r="I64" s="14">
        <f t="shared" si="4"/>
        <v>10639.393674340809</v>
      </c>
      <c r="J64" s="4">
        <f t="shared" si="5"/>
        <v>5998.2229939387162</v>
      </c>
      <c r="K64" s="4">
        <f t="shared" si="6"/>
        <v>3194.4865137354263</v>
      </c>
    </row>
    <row r="65" spans="1:11" x14ac:dyDescent="0.2">
      <c r="A65" s="3">
        <f t="shared" si="7"/>
        <v>56</v>
      </c>
      <c r="B65" s="14">
        <f t="shared" si="8"/>
        <v>216872.92912713747</v>
      </c>
      <c r="C65" s="8">
        <f t="shared" si="1"/>
        <v>9192.7095076741425</v>
      </c>
      <c r="D65" s="8">
        <f t="shared" si="2"/>
        <v>3108.5119841556366</v>
      </c>
      <c r="E65" s="8">
        <f t="shared" si="9"/>
        <v>278280.46403337101</v>
      </c>
      <c r="F65" s="8">
        <f t="shared" si="3"/>
        <v>6084.1975235185055</v>
      </c>
      <c r="G65" s="8">
        <f t="shared" si="10"/>
        <v>236511.26839638091</v>
      </c>
      <c r="H65" s="8">
        <f t="shared" si="14"/>
        <v>1446.6841666666667</v>
      </c>
      <c r="I65" s="14">
        <f t="shared" si="4"/>
        <v>10639.393674340809</v>
      </c>
      <c r="J65" s="4">
        <f t="shared" si="5"/>
        <v>6084.1975235185046</v>
      </c>
      <c r="K65" s="4">
        <f t="shared" si="6"/>
        <v>3108.5119841556379</v>
      </c>
    </row>
    <row r="66" spans="1:11" x14ac:dyDescent="0.2">
      <c r="A66" s="3">
        <f t="shared" si="7"/>
        <v>57</v>
      </c>
      <c r="B66" s="14">
        <f t="shared" si="8"/>
        <v>210788.73160361897</v>
      </c>
      <c r="C66" s="8">
        <f t="shared" si="1"/>
        <v>9192.7095076741425</v>
      </c>
      <c r="D66" s="8">
        <f t="shared" si="2"/>
        <v>3021.305152985205</v>
      </c>
      <c r="E66" s="8">
        <f t="shared" si="9"/>
        <v>281301.76918635622</v>
      </c>
      <c r="F66" s="8">
        <f t="shared" si="3"/>
        <v>6171.404354688937</v>
      </c>
      <c r="G66" s="8">
        <f t="shared" si="10"/>
        <v>242682.67275106985</v>
      </c>
      <c r="H66" s="8">
        <f t="shared" si="14"/>
        <v>1446.6841666666667</v>
      </c>
      <c r="I66" s="14">
        <f t="shared" si="4"/>
        <v>10639.393674340809</v>
      </c>
      <c r="J66" s="4">
        <f t="shared" si="5"/>
        <v>6171.4043546889352</v>
      </c>
      <c r="K66" s="4">
        <f t="shared" si="6"/>
        <v>3021.3051529852073</v>
      </c>
    </row>
    <row r="67" spans="1:11" x14ac:dyDescent="0.2">
      <c r="A67" s="3">
        <f t="shared" si="7"/>
        <v>58</v>
      </c>
      <c r="B67" s="14">
        <f t="shared" si="8"/>
        <v>204617.32724893003</v>
      </c>
      <c r="C67" s="8">
        <f t="shared" si="1"/>
        <v>9192.7095076741425</v>
      </c>
      <c r="D67" s="8">
        <f t="shared" si="2"/>
        <v>2932.8483572346636</v>
      </c>
      <c r="E67" s="8">
        <f t="shared" si="9"/>
        <v>284234.6175435909</v>
      </c>
      <c r="F67" s="8">
        <f t="shared" si="3"/>
        <v>6259.8611504394794</v>
      </c>
      <c r="G67" s="8">
        <f t="shared" si="10"/>
        <v>248942.53390150933</v>
      </c>
      <c r="H67" s="8">
        <f t="shared" si="14"/>
        <v>1446.6841666666667</v>
      </c>
      <c r="I67" s="14">
        <f t="shared" si="4"/>
        <v>10639.393674340809</v>
      </c>
      <c r="J67" s="4">
        <f t="shared" si="5"/>
        <v>6259.8611504394776</v>
      </c>
      <c r="K67" s="4">
        <f t="shared" si="6"/>
        <v>2932.8483572346649</v>
      </c>
    </row>
    <row r="68" spans="1:11" x14ac:dyDescent="0.2">
      <c r="A68" s="3">
        <f t="shared" si="7"/>
        <v>59</v>
      </c>
      <c r="B68" s="14">
        <f t="shared" si="8"/>
        <v>198357.46609849055</v>
      </c>
      <c r="C68" s="8">
        <f t="shared" si="1"/>
        <v>9192.7095076741425</v>
      </c>
      <c r="D68" s="8">
        <f t="shared" si="2"/>
        <v>2843.1236807450309</v>
      </c>
      <c r="E68" s="8">
        <f t="shared" si="9"/>
        <v>287077.74122433591</v>
      </c>
      <c r="F68" s="8">
        <f t="shared" si="3"/>
        <v>6349.5858269291111</v>
      </c>
      <c r="G68" s="8">
        <f t="shared" si="10"/>
        <v>255292.11972843844</v>
      </c>
      <c r="H68" s="8">
        <f t="shared" si="14"/>
        <v>1446.6841666666667</v>
      </c>
      <c r="I68" s="14">
        <f t="shared" si="4"/>
        <v>10639.393674340809</v>
      </c>
      <c r="J68" s="4">
        <f t="shared" si="5"/>
        <v>6349.5858269291102</v>
      </c>
      <c r="K68" s="4">
        <f t="shared" si="6"/>
        <v>2843.1236807450323</v>
      </c>
    </row>
    <row r="69" spans="1:11" x14ac:dyDescent="0.2">
      <c r="A69" s="3">
        <f t="shared" si="7"/>
        <v>60</v>
      </c>
      <c r="B69" s="14">
        <f t="shared" si="8"/>
        <v>192007.88027156144</v>
      </c>
      <c r="C69" s="8">
        <f t="shared" si="1"/>
        <v>9192.7095076741425</v>
      </c>
      <c r="D69" s="8">
        <f t="shared" si="2"/>
        <v>2752.112950559047</v>
      </c>
      <c r="E69" s="8">
        <f t="shared" si="9"/>
        <v>289829.85417489498</v>
      </c>
      <c r="F69" s="8">
        <f t="shared" si="3"/>
        <v>6440.5965571150955</v>
      </c>
      <c r="G69" s="8">
        <f t="shared" si="10"/>
        <v>261732.71628555353</v>
      </c>
      <c r="H69" s="8">
        <f t="shared" si="14"/>
        <v>1446.6841666666667</v>
      </c>
      <c r="I69" s="14">
        <f t="shared" si="4"/>
        <v>10639.393674340809</v>
      </c>
      <c r="J69" s="4">
        <f t="shared" si="5"/>
        <v>6440.5965571150937</v>
      </c>
      <c r="K69" s="4">
        <f t="shared" si="6"/>
        <v>2752.1129505590488</v>
      </c>
    </row>
    <row r="70" spans="1:11" x14ac:dyDescent="0.2">
      <c r="A70" s="3">
        <f t="shared" si="7"/>
        <v>61</v>
      </c>
      <c r="B70" s="14">
        <f t="shared" si="8"/>
        <v>185567.28371444636</v>
      </c>
      <c r="C70" s="8">
        <f t="shared" si="1"/>
        <v>9192.7095076741425</v>
      </c>
      <c r="D70" s="8">
        <f t="shared" si="2"/>
        <v>2659.7977332403975</v>
      </c>
      <c r="E70" s="8">
        <f t="shared" si="9"/>
        <v>292489.65190813539</v>
      </c>
      <c r="F70" s="8">
        <f t="shared" si="3"/>
        <v>6532.9117744337454</v>
      </c>
      <c r="G70" s="8">
        <f t="shared" si="10"/>
        <v>268265.62805998727</v>
      </c>
      <c r="H70" s="8">
        <f t="shared" ref="H70:H80" si="15">F$7/12</f>
        <v>1343.3495833333334</v>
      </c>
      <c r="I70" s="14">
        <f t="shared" si="4"/>
        <v>10536.059091007475</v>
      </c>
      <c r="J70" s="4">
        <f t="shared" si="5"/>
        <v>6532.9117744337436</v>
      </c>
      <c r="K70" s="4">
        <f t="shared" si="6"/>
        <v>2659.7977332403989</v>
      </c>
    </row>
    <row r="71" spans="1:11" x14ac:dyDescent="0.2">
      <c r="A71" s="3">
        <f t="shared" si="7"/>
        <v>62</v>
      </c>
      <c r="B71" s="14">
        <f t="shared" si="8"/>
        <v>179034.37194001261</v>
      </c>
      <c r="C71" s="8">
        <f t="shared" si="1"/>
        <v>9192.7095076741425</v>
      </c>
      <c r="D71" s="8">
        <f t="shared" si="2"/>
        <v>2566.1593311401807</v>
      </c>
      <c r="E71" s="8">
        <f t="shared" si="9"/>
        <v>295055.81123927556</v>
      </c>
      <c r="F71" s="8">
        <f t="shared" si="3"/>
        <v>6626.5501765339613</v>
      </c>
      <c r="G71" s="8">
        <f t="shared" si="10"/>
        <v>274892.17823652126</v>
      </c>
      <c r="H71" s="8">
        <f t="shared" si="15"/>
        <v>1343.3495833333334</v>
      </c>
      <c r="I71" s="14">
        <f t="shared" si="4"/>
        <v>10536.059091007475</v>
      </c>
      <c r="J71" s="4">
        <f t="shared" si="5"/>
        <v>6626.5501765339604</v>
      </c>
      <c r="K71" s="4">
        <f t="shared" si="6"/>
        <v>2566.1593311401821</v>
      </c>
    </row>
    <row r="72" spans="1:11" x14ac:dyDescent="0.2">
      <c r="A72" s="3">
        <f t="shared" si="7"/>
        <v>63</v>
      </c>
      <c r="B72" s="14">
        <f t="shared" si="8"/>
        <v>172407.82176347866</v>
      </c>
      <c r="C72" s="8">
        <f t="shared" si="1"/>
        <v>9192.7095076741425</v>
      </c>
      <c r="D72" s="8">
        <f t="shared" si="2"/>
        <v>2471.1787786098603</v>
      </c>
      <c r="E72" s="8">
        <f t="shared" si="9"/>
        <v>297526.9900178854</v>
      </c>
      <c r="F72" s="8">
        <f t="shared" si="3"/>
        <v>6721.5307290642822</v>
      </c>
      <c r="G72" s="8">
        <f t="shared" si="10"/>
        <v>281613.70896558557</v>
      </c>
      <c r="H72" s="8">
        <f t="shared" si="15"/>
        <v>1343.3495833333334</v>
      </c>
      <c r="I72" s="14">
        <f t="shared" si="4"/>
        <v>10536.059091007475</v>
      </c>
      <c r="J72" s="4">
        <f t="shared" si="5"/>
        <v>6721.5307290642804</v>
      </c>
      <c r="K72" s="4">
        <f t="shared" si="6"/>
        <v>2471.1787786098621</v>
      </c>
    </row>
    <row r="73" spans="1:11" x14ac:dyDescent="0.2">
      <c r="A73" s="3">
        <f t="shared" si="7"/>
        <v>64</v>
      </c>
      <c r="B73" s="14">
        <f t="shared" si="8"/>
        <v>165686.29103441437</v>
      </c>
      <c r="C73" s="8">
        <f t="shared" si="1"/>
        <v>9192.7095076741425</v>
      </c>
      <c r="D73" s="8">
        <f t="shared" si="2"/>
        <v>2374.8368381599389</v>
      </c>
      <c r="E73" s="8">
        <f t="shared" si="9"/>
        <v>299901.82685604534</v>
      </c>
      <c r="F73" s="8">
        <f t="shared" si="3"/>
        <v>6817.8726695142032</v>
      </c>
      <c r="G73" s="8">
        <f t="shared" si="10"/>
        <v>288431.58163509978</v>
      </c>
      <c r="H73" s="8">
        <f t="shared" si="15"/>
        <v>1343.3495833333334</v>
      </c>
      <c r="I73" s="14">
        <f t="shared" si="4"/>
        <v>10536.059091007475</v>
      </c>
      <c r="J73" s="4">
        <f t="shared" si="5"/>
        <v>6817.8726695142013</v>
      </c>
      <c r="K73" s="4">
        <f t="shared" si="6"/>
        <v>2374.8368381599412</v>
      </c>
    </row>
    <row r="74" spans="1:11" x14ac:dyDescent="0.2">
      <c r="A74" s="3">
        <f t="shared" si="7"/>
        <v>65</v>
      </c>
      <c r="B74" s="14">
        <f t="shared" si="8"/>
        <v>158868.41836490016</v>
      </c>
      <c r="C74" s="8">
        <f t="shared" si="1"/>
        <v>9192.7095076741425</v>
      </c>
      <c r="D74" s="8">
        <f t="shared" si="2"/>
        <v>2277.1139965635689</v>
      </c>
      <c r="E74" s="8">
        <f t="shared" si="9"/>
        <v>302178.94085260894</v>
      </c>
      <c r="F74" s="8">
        <f t="shared" si="3"/>
        <v>6915.5955111105741</v>
      </c>
      <c r="G74" s="8">
        <f t="shared" si="10"/>
        <v>295347.17714621034</v>
      </c>
      <c r="H74" s="8">
        <f t="shared" si="15"/>
        <v>1343.3495833333334</v>
      </c>
      <c r="I74" s="14">
        <f t="shared" si="4"/>
        <v>10536.059091007475</v>
      </c>
      <c r="J74" s="4">
        <f t="shared" si="5"/>
        <v>6915.5955111105723</v>
      </c>
      <c r="K74" s="4">
        <f t="shared" si="6"/>
        <v>2277.1139965635703</v>
      </c>
    </row>
    <row r="75" spans="1:11" x14ac:dyDescent="0.2">
      <c r="A75" s="3">
        <f t="shared" si="7"/>
        <v>66</v>
      </c>
      <c r="B75" s="14">
        <f t="shared" si="8"/>
        <v>151952.82285378958</v>
      </c>
      <c r="C75" s="8">
        <f t="shared" ref="C75:C93" si="16">PMT(C$4/12,C$5,-C$3)</f>
        <v>9192.7095076741425</v>
      </c>
      <c r="D75" s="8">
        <f t="shared" ref="D75:D93" si="17">($C$4/12)*B75</f>
        <v>2177.9904609043169</v>
      </c>
      <c r="E75" s="8">
        <f t="shared" si="9"/>
        <v>304356.93131351325</v>
      </c>
      <c r="F75" s="8">
        <f t="shared" ref="F75:F93" si="18">C75-D75</f>
        <v>7014.7190467698256</v>
      </c>
      <c r="G75" s="8">
        <f t="shared" si="10"/>
        <v>302361.89619298017</v>
      </c>
      <c r="H75" s="8">
        <f t="shared" si="15"/>
        <v>1343.3495833333334</v>
      </c>
      <c r="I75" s="14">
        <f t="shared" ref="I75:I93" si="19">C75+H75</f>
        <v>10536.059091007475</v>
      </c>
      <c r="J75" s="4">
        <f t="shared" ref="J75:J93" si="20">PPMT($C$4/12,A75,$C$5,-C$3)</f>
        <v>7014.7190467698238</v>
      </c>
      <c r="K75" s="4">
        <f t="shared" ref="K75:K93" si="21">C75-J75</f>
        <v>2177.9904609043188</v>
      </c>
    </row>
    <row r="76" spans="1:11" x14ac:dyDescent="0.2">
      <c r="A76" s="3">
        <f t="shared" ref="A76:A83" si="22">A75+1</f>
        <v>67</v>
      </c>
      <c r="B76" s="14">
        <f t="shared" ref="B76:B93" si="23">B75-F75</f>
        <v>144938.10380701974</v>
      </c>
      <c r="C76" s="8">
        <f t="shared" si="16"/>
        <v>9192.7095076741425</v>
      </c>
      <c r="D76" s="8">
        <f t="shared" si="17"/>
        <v>2077.4461545672825</v>
      </c>
      <c r="E76" s="8">
        <f t="shared" ref="E76:E93" si="24">E75+D76</f>
        <v>306434.37746808055</v>
      </c>
      <c r="F76" s="8">
        <f t="shared" si="18"/>
        <v>7115.2633531068604</v>
      </c>
      <c r="G76" s="8">
        <f t="shared" ref="G76:G93" si="25">G75+F76</f>
        <v>309477.15954608703</v>
      </c>
      <c r="H76" s="8">
        <f t="shared" si="15"/>
        <v>1343.3495833333334</v>
      </c>
      <c r="I76" s="14">
        <f t="shared" si="19"/>
        <v>10536.059091007475</v>
      </c>
      <c r="J76" s="4">
        <f t="shared" si="20"/>
        <v>7115.2633531068577</v>
      </c>
      <c r="K76" s="4">
        <f t="shared" si="21"/>
        <v>2077.4461545672848</v>
      </c>
    </row>
    <row r="77" spans="1:11" x14ac:dyDescent="0.2">
      <c r="A77" s="3">
        <f t="shared" si="22"/>
        <v>68</v>
      </c>
      <c r="B77" s="14">
        <f t="shared" si="23"/>
        <v>137822.84045391288</v>
      </c>
      <c r="C77" s="8">
        <f t="shared" si="16"/>
        <v>9192.7095076741425</v>
      </c>
      <c r="D77" s="8">
        <f t="shared" si="17"/>
        <v>1975.4607131727512</v>
      </c>
      <c r="E77" s="8">
        <f t="shared" si="24"/>
        <v>308409.83818125329</v>
      </c>
      <c r="F77" s="8">
        <f t="shared" si="18"/>
        <v>7217.2487945013909</v>
      </c>
      <c r="G77" s="8">
        <f t="shared" si="25"/>
        <v>316694.40834058844</v>
      </c>
      <c r="H77" s="8">
        <f t="shared" si="15"/>
        <v>1343.3495833333334</v>
      </c>
      <c r="I77" s="14">
        <f t="shared" si="19"/>
        <v>10536.059091007475</v>
      </c>
      <c r="J77" s="4">
        <f t="shared" si="20"/>
        <v>7217.2487945013891</v>
      </c>
      <c r="K77" s="4">
        <f t="shared" si="21"/>
        <v>1975.4607131727535</v>
      </c>
    </row>
    <row r="78" spans="1:11" x14ac:dyDescent="0.2">
      <c r="A78" s="3">
        <f t="shared" si="22"/>
        <v>69</v>
      </c>
      <c r="B78" s="14">
        <f t="shared" si="23"/>
        <v>130605.5916594115</v>
      </c>
      <c r="C78" s="8">
        <f t="shared" si="16"/>
        <v>9192.7095076741425</v>
      </c>
      <c r="D78" s="8">
        <f t="shared" si="17"/>
        <v>1872.0134804515646</v>
      </c>
      <c r="E78" s="8">
        <f t="shared" si="24"/>
        <v>310281.85166170483</v>
      </c>
      <c r="F78" s="8">
        <f t="shared" si="18"/>
        <v>7320.6960272225779</v>
      </c>
      <c r="G78" s="8">
        <f t="shared" si="25"/>
        <v>324015.104367811</v>
      </c>
      <c r="H78" s="8">
        <f t="shared" si="15"/>
        <v>1343.3495833333334</v>
      </c>
      <c r="I78" s="14">
        <f t="shared" si="19"/>
        <v>10536.059091007475</v>
      </c>
      <c r="J78" s="4">
        <f t="shared" si="20"/>
        <v>7320.6960272225751</v>
      </c>
      <c r="K78" s="4">
        <f t="shared" si="21"/>
        <v>1872.0134804515674</v>
      </c>
    </row>
    <row r="79" spans="1:11" x14ac:dyDescent="0.2">
      <c r="A79" s="3">
        <f t="shared" si="22"/>
        <v>70</v>
      </c>
      <c r="B79" s="14">
        <f t="shared" si="23"/>
        <v>123284.89563218891</v>
      </c>
      <c r="C79" s="8">
        <f t="shared" si="16"/>
        <v>9192.7095076741425</v>
      </c>
      <c r="D79" s="8">
        <f t="shared" si="17"/>
        <v>1767.0835040613742</v>
      </c>
      <c r="E79" s="8">
        <f t="shared" si="24"/>
        <v>312048.93516576622</v>
      </c>
      <c r="F79" s="8">
        <f t="shared" si="18"/>
        <v>7425.6260036127678</v>
      </c>
      <c r="G79" s="8">
        <f t="shared" si="25"/>
        <v>331440.73037142376</v>
      </c>
      <c r="H79" s="8">
        <f t="shared" si="15"/>
        <v>1343.3495833333334</v>
      </c>
      <c r="I79" s="14">
        <f t="shared" si="19"/>
        <v>10536.059091007475</v>
      </c>
      <c r="J79" s="4">
        <f t="shared" si="20"/>
        <v>7425.6260036127651</v>
      </c>
      <c r="K79" s="4">
        <f t="shared" si="21"/>
        <v>1767.0835040613774</v>
      </c>
    </row>
    <row r="80" spans="1:11" x14ac:dyDescent="0.2">
      <c r="A80" s="3">
        <f t="shared" si="22"/>
        <v>71</v>
      </c>
      <c r="B80" s="14">
        <f t="shared" si="23"/>
        <v>115859.26962857615</v>
      </c>
      <c r="C80" s="8">
        <f t="shared" si="16"/>
        <v>9192.7095076741425</v>
      </c>
      <c r="D80" s="8">
        <f t="shared" si="17"/>
        <v>1660.6495313429245</v>
      </c>
      <c r="E80" s="8">
        <f t="shared" si="24"/>
        <v>313709.58469710912</v>
      </c>
      <c r="F80" s="8">
        <f t="shared" si="18"/>
        <v>7532.0599763312184</v>
      </c>
      <c r="G80" s="8">
        <f t="shared" si="25"/>
        <v>338972.79034775496</v>
      </c>
      <c r="H80" s="8">
        <f t="shared" si="15"/>
        <v>1343.3495833333334</v>
      </c>
      <c r="I80" s="14">
        <f t="shared" si="19"/>
        <v>10536.059091007475</v>
      </c>
      <c r="J80" s="4">
        <f t="shared" si="20"/>
        <v>7532.0599763312157</v>
      </c>
      <c r="K80" s="4">
        <f t="shared" si="21"/>
        <v>1660.6495313429268</v>
      </c>
    </row>
    <row r="81" spans="1:11" x14ac:dyDescent="0.2">
      <c r="A81" s="3">
        <f t="shared" si="22"/>
        <v>72</v>
      </c>
      <c r="B81" s="14">
        <f t="shared" si="23"/>
        <v>108327.20965224493</v>
      </c>
      <c r="C81" s="8">
        <f t="shared" si="16"/>
        <v>9192.7095076741425</v>
      </c>
      <c r="D81" s="8">
        <f t="shared" si="17"/>
        <v>1552.6900050155105</v>
      </c>
      <c r="E81" s="8">
        <f t="shared" si="24"/>
        <v>315262.27470212465</v>
      </c>
      <c r="F81" s="8">
        <f t="shared" si="18"/>
        <v>7640.0195026586316</v>
      </c>
      <c r="G81" s="8">
        <f t="shared" si="25"/>
        <v>346612.80985041359</v>
      </c>
      <c r="H81" s="8">
        <v>0</v>
      </c>
      <c r="I81" s="14">
        <f t="shared" si="19"/>
        <v>9192.7095076741425</v>
      </c>
      <c r="J81" s="4">
        <f t="shared" si="20"/>
        <v>7640.0195026586298</v>
      </c>
      <c r="K81" s="4">
        <f t="shared" si="21"/>
        <v>1552.6900050155127</v>
      </c>
    </row>
    <row r="82" spans="1:11" x14ac:dyDescent="0.2">
      <c r="A82" s="3">
        <f t="shared" si="22"/>
        <v>73</v>
      </c>
      <c r="B82" s="14">
        <f t="shared" si="23"/>
        <v>100687.1901495863</v>
      </c>
      <c r="C82" s="8">
        <f t="shared" si="16"/>
        <v>9192.7095076741425</v>
      </c>
      <c r="D82" s="8">
        <f t="shared" si="17"/>
        <v>1443.1830588107368</v>
      </c>
      <c r="E82" s="8">
        <f t="shared" si="24"/>
        <v>316705.45776093536</v>
      </c>
      <c r="F82" s="8">
        <f t="shared" si="18"/>
        <v>7749.5264488634057</v>
      </c>
      <c r="G82" s="8">
        <f t="shared" si="25"/>
        <v>354362.33629927697</v>
      </c>
      <c r="H82" s="8">
        <v>0</v>
      </c>
      <c r="I82" s="14">
        <f t="shared" si="19"/>
        <v>9192.7095076741425</v>
      </c>
      <c r="J82" s="4">
        <f t="shared" si="20"/>
        <v>7749.5264488634029</v>
      </c>
      <c r="K82" s="4">
        <f t="shared" si="21"/>
        <v>1443.1830588107396</v>
      </c>
    </row>
    <row r="83" spans="1:11" x14ac:dyDescent="0.2">
      <c r="A83" s="3">
        <f t="shared" si="22"/>
        <v>74</v>
      </c>
      <c r="B83" s="14">
        <f t="shared" si="23"/>
        <v>92937.663700722886</v>
      </c>
      <c r="C83" s="8">
        <f t="shared" si="16"/>
        <v>9192.7095076741425</v>
      </c>
      <c r="D83" s="8">
        <f t="shared" si="17"/>
        <v>1332.1065130436946</v>
      </c>
      <c r="E83" s="8">
        <f t="shared" si="24"/>
        <v>318037.56427397905</v>
      </c>
      <c r="F83" s="8">
        <f t="shared" si="18"/>
        <v>7860.6029946304479</v>
      </c>
      <c r="G83" s="8">
        <f t="shared" si="25"/>
        <v>362222.93929390743</v>
      </c>
      <c r="H83" s="8">
        <v>0</v>
      </c>
      <c r="I83" s="14">
        <f t="shared" si="19"/>
        <v>9192.7095076741425</v>
      </c>
      <c r="J83" s="4">
        <f t="shared" si="20"/>
        <v>7860.6029946304461</v>
      </c>
      <c r="K83" s="4">
        <f t="shared" si="21"/>
        <v>1332.1065130436964</v>
      </c>
    </row>
    <row r="84" spans="1:11" x14ac:dyDescent="0.2">
      <c r="A84" s="3">
        <f>A83+1</f>
        <v>75</v>
      </c>
      <c r="B84" s="14">
        <f t="shared" si="23"/>
        <v>85077.060706092438</v>
      </c>
      <c r="C84" s="8">
        <f t="shared" si="16"/>
        <v>9192.7095076741425</v>
      </c>
      <c r="D84" s="8">
        <f t="shared" si="17"/>
        <v>1219.4378701206581</v>
      </c>
      <c r="E84" s="8">
        <f t="shared" si="24"/>
        <v>319257.00214409968</v>
      </c>
      <c r="F84" s="8">
        <f t="shared" si="18"/>
        <v>7973.2716375534847</v>
      </c>
      <c r="G84" s="8">
        <f t="shared" si="25"/>
        <v>370196.2109314609</v>
      </c>
      <c r="H84" s="8">
        <v>0</v>
      </c>
      <c r="I84" s="14">
        <f t="shared" si="19"/>
        <v>9192.7095076741425</v>
      </c>
      <c r="J84" s="4">
        <f t="shared" si="20"/>
        <v>7973.271637553481</v>
      </c>
      <c r="K84" s="4">
        <f t="shared" si="21"/>
        <v>1219.4378701206615</v>
      </c>
    </row>
    <row r="85" spans="1:11" x14ac:dyDescent="0.2">
      <c r="A85" s="3">
        <f t="shared" ref="A85:A92" si="26">A84+1</f>
        <v>76</v>
      </c>
      <c r="B85" s="14">
        <f t="shared" si="23"/>
        <v>77103.789068538958</v>
      </c>
      <c r="C85" s="8">
        <f t="shared" si="16"/>
        <v>9192.7095076741425</v>
      </c>
      <c r="D85" s="8">
        <f t="shared" si="17"/>
        <v>1105.1543099823916</v>
      </c>
      <c r="E85" s="8">
        <f t="shared" si="24"/>
        <v>320362.15645408205</v>
      </c>
      <c r="F85" s="8">
        <f t="shared" si="18"/>
        <v>8087.5551976917504</v>
      </c>
      <c r="G85" s="8">
        <f t="shared" si="25"/>
        <v>378283.76612915267</v>
      </c>
      <c r="H85" s="8">
        <v>0</v>
      </c>
      <c r="I85" s="14">
        <f t="shared" si="19"/>
        <v>9192.7095076741425</v>
      </c>
      <c r="J85" s="4">
        <f t="shared" si="20"/>
        <v>8087.5551976917486</v>
      </c>
      <c r="K85" s="4">
        <f t="shared" si="21"/>
        <v>1105.1543099823939</v>
      </c>
    </row>
    <row r="86" spans="1:11" x14ac:dyDescent="0.2">
      <c r="A86" s="3">
        <f t="shared" si="26"/>
        <v>77</v>
      </c>
      <c r="B86" s="14">
        <f t="shared" si="23"/>
        <v>69016.233870847209</v>
      </c>
      <c r="C86" s="8">
        <f t="shared" si="16"/>
        <v>9192.7095076741425</v>
      </c>
      <c r="D86" s="8">
        <f t="shared" si="17"/>
        <v>989.23268548214321</v>
      </c>
      <c r="E86" s="8">
        <f t="shared" si="24"/>
        <v>321351.38913956418</v>
      </c>
      <c r="F86" s="8">
        <f t="shared" si="18"/>
        <v>8203.4768221919985</v>
      </c>
      <c r="G86" s="8">
        <f t="shared" si="25"/>
        <v>386487.2429513447</v>
      </c>
      <c r="H86" s="8">
        <v>0</v>
      </c>
      <c r="I86" s="14">
        <f t="shared" si="19"/>
        <v>9192.7095076741425</v>
      </c>
      <c r="J86" s="4">
        <f t="shared" si="20"/>
        <v>8203.4768221919985</v>
      </c>
      <c r="K86" s="4">
        <f t="shared" si="21"/>
        <v>989.23268548214401</v>
      </c>
    </row>
    <row r="87" spans="1:11" x14ac:dyDescent="0.2">
      <c r="A87" s="3">
        <f t="shared" si="26"/>
        <v>78</v>
      </c>
      <c r="B87" s="14">
        <f t="shared" si="23"/>
        <v>60812.757048655214</v>
      </c>
      <c r="C87" s="8">
        <f t="shared" si="16"/>
        <v>9192.7095076741425</v>
      </c>
      <c r="D87" s="8">
        <f t="shared" si="17"/>
        <v>871.64951769739127</v>
      </c>
      <c r="E87" s="8">
        <f t="shared" si="24"/>
        <v>322223.03865726158</v>
      </c>
      <c r="F87" s="8">
        <f t="shared" si="18"/>
        <v>8321.0599899767512</v>
      </c>
      <c r="G87" s="8">
        <f t="shared" si="25"/>
        <v>394808.30294132145</v>
      </c>
      <c r="H87" s="8">
        <v>0</v>
      </c>
      <c r="I87" s="14">
        <f t="shared" si="19"/>
        <v>9192.7095076741425</v>
      </c>
      <c r="J87" s="4">
        <f t="shared" si="20"/>
        <v>8321.0599899767476</v>
      </c>
      <c r="K87" s="4">
        <f t="shared" si="21"/>
        <v>871.64951769739491</v>
      </c>
    </row>
    <row r="88" spans="1:11" x14ac:dyDescent="0.2">
      <c r="A88" s="3">
        <f t="shared" si="26"/>
        <v>79</v>
      </c>
      <c r="B88" s="14">
        <f t="shared" si="23"/>
        <v>52491.697058678459</v>
      </c>
      <c r="C88" s="8">
        <f t="shared" si="16"/>
        <v>9192.7095076741425</v>
      </c>
      <c r="D88" s="8">
        <f t="shared" si="17"/>
        <v>752.38099117439117</v>
      </c>
      <c r="E88" s="8">
        <f t="shared" si="24"/>
        <v>322975.41964843596</v>
      </c>
      <c r="F88" s="8">
        <f t="shared" si="18"/>
        <v>8440.3285164997505</v>
      </c>
      <c r="G88" s="8">
        <f t="shared" si="25"/>
        <v>403248.63145782123</v>
      </c>
      <c r="H88" s="8">
        <v>0</v>
      </c>
      <c r="I88" s="14">
        <f t="shared" si="19"/>
        <v>9192.7095076741425</v>
      </c>
      <c r="J88" s="4">
        <f t="shared" si="20"/>
        <v>8440.3285164997487</v>
      </c>
      <c r="K88" s="4">
        <f t="shared" si="21"/>
        <v>752.38099117439378</v>
      </c>
    </row>
    <row r="89" spans="1:11" x14ac:dyDescent="0.2">
      <c r="A89" s="3">
        <f t="shared" si="26"/>
        <v>80</v>
      </c>
      <c r="B89" s="14">
        <f t="shared" si="23"/>
        <v>44051.368542178709</v>
      </c>
      <c r="C89" s="8">
        <f t="shared" si="16"/>
        <v>9192.7095076741425</v>
      </c>
      <c r="D89" s="8">
        <f t="shared" si="17"/>
        <v>631.40294910456146</v>
      </c>
      <c r="E89" s="8">
        <f t="shared" si="24"/>
        <v>323606.82259754051</v>
      </c>
      <c r="F89" s="8">
        <f t="shared" si="18"/>
        <v>8561.3065585695804</v>
      </c>
      <c r="G89" s="8">
        <f t="shared" si="25"/>
        <v>411809.93801639084</v>
      </c>
      <c r="H89" s="8">
        <v>0</v>
      </c>
      <c r="I89" s="14">
        <f t="shared" si="19"/>
        <v>9192.7095076741425</v>
      </c>
      <c r="J89" s="4">
        <f t="shared" si="20"/>
        <v>8561.3065585695786</v>
      </c>
      <c r="K89" s="4">
        <f t="shared" si="21"/>
        <v>631.40294910456396</v>
      </c>
    </row>
    <row r="90" spans="1:11" x14ac:dyDescent="0.2">
      <c r="A90" s="3">
        <f t="shared" si="26"/>
        <v>81</v>
      </c>
      <c r="B90" s="14">
        <f t="shared" si="23"/>
        <v>35490.061983609128</v>
      </c>
      <c r="C90" s="8">
        <f t="shared" si="16"/>
        <v>9192.7095076741425</v>
      </c>
      <c r="D90" s="8">
        <f t="shared" si="17"/>
        <v>508.6908884317308</v>
      </c>
      <c r="E90" s="8">
        <f t="shared" si="24"/>
        <v>324115.51348597225</v>
      </c>
      <c r="F90" s="8">
        <f t="shared" si="18"/>
        <v>8684.0186192424117</v>
      </c>
      <c r="G90" s="8">
        <f t="shared" si="25"/>
        <v>420493.95663563325</v>
      </c>
      <c r="H90" s="8">
        <v>0</v>
      </c>
      <c r="I90" s="14">
        <f t="shared" si="19"/>
        <v>9192.7095076741425</v>
      </c>
      <c r="J90" s="4">
        <f t="shared" si="20"/>
        <v>8684.0186192424098</v>
      </c>
      <c r="K90" s="4">
        <f t="shared" si="21"/>
        <v>508.69088843173267</v>
      </c>
    </row>
    <row r="91" spans="1:11" x14ac:dyDescent="0.2">
      <c r="A91" s="3">
        <f t="shared" si="26"/>
        <v>82</v>
      </c>
      <c r="B91" s="14">
        <f t="shared" si="23"/>
        <v>26806.043364366717</v>
      </c>
      <c r="C91" s="8">
        <f t="shared" si="16"/>
        <v>9192.7095076741425</v>
      </c>
      <c r="D91" s="8">
        <f t="shared" si="17"/>
        <v>384.2199548892562</v>
      </c>
      <c r="E91" s="8">
        <f t="shared" si="24"/>
        <v>324499.73344086151</v>
      </c>
      <c r="F91" s="8">
        <f t="shared" si="18"/>
        <v>8808.4895527848857</v>
      </c>
      <c r="G91" s="8">
        <f t="shared" si="25"/>
        <v>429302.44618841814</v>
      </c>
      <c r="H91" s="8">
        <v>0</v>
      </c>
      <c r="I91" s="14">
        <f t="shared" si="19"/>
        <v>9192.7095076741425</v>
      </c>
      <c r="J91" s="4">
        <f t="shared" si="20"/>
        <v>8808.4895527848839</v>
      </c>
      <c r="K91" s="4">
        <f t="shared" si="21"/>
        <v>384.21995488925859</v>
      </c>
    </row>
    <row r="92" spans="1:11" x14ac:dyDescent="0.2">
      <c r="A92" s="3">
        <f t="shared" si="26"/>
        <v>83</v>
      </c>
      <c r="B92" s="14">
        <f t="shared" si="23"/>
        <v>17997.553811581831</v>
      </c>
      <c r="C92" s="8">
        <f t="shared" si="16"/>
        <v>9192.7095076741425</v>
      </c>
      <c r="D92" s="8">
        <f t="shared" si="17"/>
        <v>257.96493796600623</v>
      </c>
      <c r="E92" s="8">
        <f t="shared" si="24"/>
        <v>324757.69837882754</v>
      </c>
      <c r="F92" s="8">
        <f t="shared" si="18"/>
        <v>8934.7445697081366</v>
      </c>
      <c r="G92" s="8">
        <f t="shared" si="25"/>
        <v>438237.19075812626</v>
      </c>
      <c r="H92" s="8">
        <v>0</v>
      </c>
      <c r="I92" s="14">
        <f t="shared" si="19"/>
        <v>9192.7095076741425</v>
      </c>
      <c r="J92" s="4">
        <f t="shared" si="20"/>
        <v>8934.744569708133</v>
      </c>
      <c r="K92" s="4">
        <f t="shared" si="21"/>
        <v>257.96493796600953</v>
      </c>
    </row>
    <row r="93" spans="1:11" x14ac:dyDescent="0.2">
      <c r="A93" s="3">
        <f>A92+1</f>
        <v>84</v>
      </c>
      <c r="B93" s="14">
        <f t="shared" si="23"/>
        <v>9062.8092418736942</v>
      </c>
      <c r="C93" s="8">
        <f t="shared" si="16"/>
        <v>9192.7095076741425</v>
      </c>
      <c r="D93" s="8">
        <f t="shared" si="17"/>
        <v>129.9002658001896</v>
      </c>
      <c r="E93" s="8">
        <f t="shared" si="24"/>
        <v>324887.59864462772</v>
      </c>
      <c r="F93" s="8">
        <f t="shared" si="18"/>
        <v>9062.8092418739525</v>
      </c>
      <c r="G93" s="8">
        <f t="shared" si="25"/>
        <v>447300.00000000023</v>
      </c>
      <c r="H93" s="8">
        <v>0</v>
      </c>
      <c r="I93" s="14">
        <f t="shared" si="19"/>
        <v>9192.7095076741425</v>
      </c>
      <c r="J93" s="4">
        <f t="shared" si="20"/>
        <v>9062.8092418739507</v>
      </c>
      <c r="K93" s="4">
        <f t="shared" si="21"/>
        <v>129.90026580019185</v>
      </c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Loan Calculator</vt:lpstr>
      <vt:lpstr>Insurance &amp; Value Added Service</vt:lpstr>
      <vt:lpstr>Sheet2</vt:lpstr>
      <vt:lpstr>Sheet1</vt:lpstr>
      <vt:lpstr>'Loan Calculator'!Print_Area</vt:lpstr>
      <vt:lpstr>Sheet1!Print_Area</vt:lpstr>
    </vt:vector>
  </TitlesOfParts>
  <Company>NIB Bank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usman.arif</dc:creator>
  <cp:lastModifiedBy>Asad Kazalbash</cp:lastModifiedBy>
  <cp:lastPrinted>2019-12-30T14:58:27Z</cp:lastPrinted>
  <dcterms:created xsi:type="dcterms:W3CDTF">2007-03-06T07:13:10Z</dcterms:created>
  <dcterms:modified xsi:type="dcterms:W3CDTF">2021-04-27T17:10:44Z</dcterms:modified>
</cp:coreProperties>
</file>